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k.stvilia\Downloads\"/>
    </mc:Choice>
  </mc:AlternateContent>
  <bookViews>
    <workbookView xWindow="0" yWindow="0" windowWidth="28800" windowHeight="12435" tabRatio="995"/>
  </bookViews>
  <sheets>
    <sheet name="CoverSheet" sheetId="117" r:id="rId1"/>
    <sheet name="Admin Sheet" sheetId="124" state="veryHidden" r:id="rId2"/>
    <sheet name="Impact Outcome Indicators_1A" sheetId="2" r:id="rId3"/>
    <sheet name="Disaggregation_1A" sheetId="80" r:id="rId4"/>
    <sheet name="Coverage Indicators_1B" sheetId="64" r:id="rId5"/>
    <sheet name="Disaggregation_1B" sheetId="69" r:id="rId6"/>
    <sheet name="WPTM_1C" sheetId="83" r:id="rId7"/>
    <sheet name="PR Cash Reconciliation_2A,B,C,D" sheetId="125" r:id="rId8"/>
    <sheet name="PRCashReconADMIN" sheetId="131" state="veryHidden" r:id="rId9"/>
    <sheet name="SR_Cash Reconciliation_2E" sheetId="126" r:id="rId10"/>
    <sheet name="Budget Variance_2F" sheetId="127" r:id="rId11"/>
    <sheet name="Procurement_3" sheetId="39" r:id="rId12"/>
    <sheet name="Grant Management_4" sheetId="4" r:id="rId13"/>
    <sheet name="PR-LFA Evaluation_5" sheetId="30" r:id="rId14"/>
    <sheet name="LFA_Findings&amp;Recommendations_6" sheetId="41" r:id="rId15"/>
    <sheet name="PR Expenditure_7A" sheetId="120" r:id="rId16"/>
    <sheet name="Reference Records" sheetId="133" state="veryHidden" r:id="rId17"/>
    <sheet name="LFA Expenditure_7B" sheetId="121" r:id="rId18"/>
    <sheet name="CashForecastADMIN" sheetId="132" state="veryHidden" r:id="rId19"/>
    <sheet name="Cash Forecast_8A" sheetId="128" r:id="rId20"/>
    <sheet name="Request and Recommendation_8B" sheetId="129" r:id="rId21"/>
    <sheet name="Commitments_Obligations" sheetId="134" r:id="rId22"/>
    <sheet name="PR Authorization_9A" sheetId="97" r:id="rId23"/>
    <sheet name="LFA Authorization_9B" sheetId="96" r:id="rId24"/>
    <sheet name="Financial Triggers_10" sheetId="130" r:id="rId25"/>
    <sheet name="apttusmetadata" sheetId="123" state="very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00393c6c_8d57_4177_9317_ad9777da6999">WPTM_1C!$B$7</definedName>
    <definedName name="_00ae92c5_c2d0_4ad2_876a_2b822f6cec23">CoverSheet!$I$24</definedName>
    <definedName name="_00d5146d_74b1_4197_b33b_3bf31928ed01">'LFA_Findings&amp;Recommendations_6'!#REF!</definedName>
    <definedName name="_00de7129_653b_4d69_830e_62f54dcfdb6c">CoverSheet!$D$10</definedName>
    <definedName name="_013db90e_ff79_4e6d_a227_f1c5bfe2a8b2">'Cash Forecast_8A'!$K$40</definedName>
    <definedName name="_020865d7_3c80_401c_b694_aef5cdf00cd1">'Cash Forecast_8A'!$B$29</definedName>
    <definedName name="_042ce654_06c1_4167_a1e9_24169119e306">'Cash Forecast_8A'!$A$71</definedName>
    <definedName name="_043e01fb_d017_40fb_88c5_3cfca2389a53">'LFA Expenditure_7B'!$J$7</definedName>
    <definedName name="_044b8821_e976_4be1_bf97_3243e6d2ae0e" comment="Display Map">'LFA Expenditure_7B'!$A$21:$Q$21</definedName>
    <definedName name="_04b2d560_412e_44de_ab55_9706d2370303">'Cash Forecast_8A'!$D$40</definedName>
    <definedName name="_04c7f0c7_5556_4402_b3b7_baad02ff9c4b">'PR Expenditure_7A'!$J$64</definedName>
    <definedName name="_052ec340_bf50_463c_99c1_853005770742">'LFA Expenditure_7B'!$C$41</definedName>
    <definedName name="_054f41e6_8a63_40d9_885d_633d6aba7e4b">'Coverage Indicators_1B'!$S$10</definedName>
    <definedName name="_055e1bed_26f5_4cad_bd36_a1ca2cd3a397">'Impact Outcome Indicators_1A'!$P$13</definedName>
    <definedName name="_06ccafbb_536a_4251_90da_2c3a122a8ebd">'Cash Forecast_8A'!$C$86</definedName>
    <definedName name="_073a3630_5d07_4123_818b_c78d2e57b54a">'Impact Outcome Indicators_1A'!$K$13</definedName>
    <definedName name="_086d13e1_625e_4efb_85a0_69eeb3621f80">'Cash Forecast_8A'!$Q$9</definedName>
    <definedName name="_08fcfab9_6347_4f75_809d_0d5647b70b40">Disaggregation_1B!$E$7</definedName>
    <definedName name="_0943cb66_cbcd_4032_a004_abb78319ecbc">'Budget Variance_2F'!$E$30</definedName>
    <definedName name="_09a04d0e_a748_45bc_b123_289a1e7a9beb">'Impact Outcome Indicators_1A'!$W$9</definedName>
    <definedName name="_0ac98eeb_96d2_4aa2_a766_803ab333aa38">'LFA Expenditure_7B'!$O$22</definedName>
    <definedName name="_0b143747_ef81_457c_9a6f_63232248d20f">Disaggregation_1A!$A$6:$Q$6</definedName>
    <definedName name="_0c34a225_b77a_4604_b753_5c322c38cfcc">Disaggregation_1A!$M$7</definedName>
    <definedName name="_0cd2b372_5397_4af7_8d5f_a0ad0b01942a">'PR Expenditure_7A'!$D$23</definedName>
    <definedName name="_0e14162e_da6c_4526_83e0_a59265e5e7b7">'LFA Expenditure_7B'!$E$7</definedName>
    <definedName name="_0e36b323_79a7_4d8a_a902_2d6b800ee4d1">'Reference Records'!$E$12:$E$25</definedName>
    <definedName name="_0f11e686_8b9d_428a_b5cf_e1469f97e018">'LFA_Findings&amp;Recommendations_6'!$A$10</definedName>
    <definedName name="_0f17fc29_fea6_4ed3_b8ac_a983ef2a9f4e">'Coverage Indicators_1B'!#REF!</definedName>
    <definedName name="_0f4ae046_3d1e_4f53_bcd7_a375cb1b4810">Disaggregation_1A!$Q$9</definedName>
    <definedName name="_0fe31f80_3bc5_4c17_9052_e1bffd2f705f">'LFA Expenditure_7B'!$J$24</definedName>
    <definedName name="_100ce52b_b666_4927_b750_4db18c820a29">'Budget Variance_2F'!$D$25</definedName>
    <definedName name="_10568f43_0617_4779_b005_c2110ef5d5eb">'PR Expenditure_7A'!$A$8</definedName>
    <definedName name="_10e60d28_5830_4c8c_af9f_409fd1e77b22">'Reference Records'!$D$30</definedName>
    <definedName name="_10ede691_a7c5_40be_8a7a_1041515faf68">'Budget Variance_2F'!$E$14</definedName>
    <definedName name="_113bb73b_de08_469f_94a3_c7a433de3c91">Disaggregation_1A!$B$7</definedName>
    <definedName name="_119930c0_01ed_47e4_9c9f_42ad97c29583">'Coverage Indicators_1B'!$N$10</definedName>
    <definedName name="_130918f5_3863_4e1b_8039_96bc99cbfe64">'Cash Forecast_8A'!$F$71</definedName>
    <definedName name="_1387ba05_1187_4e84_ac8a_8124d7cd2fd4">PRCashReconADMIN!$H$4</definedName>
    <definedName name="_13dfa275_bbd0_40ad_a148_564b28bd98bf">'Cash Forecast_8A'!$L$86</definedName>
    <definedName name="_1459108f_5271_4954_8daa_c1a161f6dacd">Disaggregation_1B!$A$6:$W$13</definedName>
    <definedName name="_145a5628_580b_411d_98dd_5082ce47803f">'Budget Variance_2F'!$D$14</definedName>
    <definedName name="_14c42e70_d543_4438_b61a_7994442d4714" comment="Display Map">'Cash Forecast_8A'!$A$28:$P$38</definedName>
    <definedName name="_14f93dd7_4613_4b36_b70e_8b96edb69f9b">'Impact Outcome Indicators_1A'!$P$9</definedName>
    <definedName name="_15d274d4_ab1e_4943_8157_30def03903f9">CoverSheet!$J$6</definedName>
    <definedName name="_16ad6929_383e_4f1f_8987_192f281b29ab">'Coverage Indicators_1B'!$Q$10</definedName>
    <definedName name="_16dcd257_a9f9_4e76_a66a_28db3694a9ff">WPTM_1C!$A$6:$T$8</definedName>
    <definedName name="_1701acac_9651_4cbd_b961_8ee16c43c8fe">'Reference Records'!$K$30</definedName>
    <definedName name="_18802850_5b2b_4dab_b1c0_3548e784628d">'Impact Outcome Indicators_1A'!$O$13</definedName>
    <definedName name="_1892798a_6092_4051_a14a_ce7e187d1059">'PR Expenditure_7A'!$D$25</definedName>
    <definedName name="_1920be43_b5da_40bb_b266_1424bf262d00">'Cash Forecast_8A'!$A$40</definedName>
    <definedName name="_196c782f_031e_436a_becc_d259bfe31210">'Impact Outcome Indicators_1A'!$N$13</definedName>
    <definedName name="_19996227_bed9_4e7c_a847_63d89f91baaf">'Budget Variance_2F'!$J$24</definedName>
    <definedName name="_1a160a3f_f2b7_4676_a745_516ddc5a5da2">'Budget Variance_2F'!$J$30</definedName>
    <definedName name="_1a96baa2_f019_4b63_8d20_f154cf151bd6">'Admin Sheet'!$D$3</definedName>
    <definedName name="_1afae577_735f_4f21_ab13_e88a8cab8b8b">Disaggregation_1B!$M$7</definedName>
    <definedName name="_1bbcf195_5a32_4af0_8d08_943045d0223f">Disaggregation_1A!$B$9</definedName>
    <definedName name="_1bc20586_67b1_4c42_a17c_fc26f13a0240">'PR Expenditure_7A'!$C$64</definedName>
    <definedName name="_1bd6c036_2829_4952_b68b_fa55884f1760">'Impact Outcome Indicators_1A'!$E$13</definedName>
    <definedName name="_1bea1016_359f_41a7_8284_13cff42b3c6f">PRCashReconADMIN!$A$4</definedName>
    <definedName name="_1befe063_b14c_4d4e_a4f0_c6c920429848">'Reference Records'!$K$12</definedName>
    <definedName name="_1cc8734c_54b1_4979_9b67_97078798e67f">Disaggregation_1A!$H$9</definedName>
    <definedName name="_1d280c19_5e23_4237_869a_5758b70b3417">'Coverage Indicators_1B'!$E$10</definedName>
    <definedName name="_1eade3bb_934c_4a06_b39b_22f8cd7db62e" comment="Display Map">PRCashReconADMIN!$A$3:$H$40</definedName>
    <definedName name="_1eaeb8c9_bb38_4a21_8744_4002b059dc7f">'LFA Expenditure_7B'!$Q$22</definedName>
    <definedName name="_1ecfe9a3_e986_4fb6_a597_f87f5693a738">'Coverage Indicators_1B'!$A$9:$AJ$13</definedName>
    <definedName name="_1f98dc35_13e3_4e81_93fc_e97f3243151d">'LFA_Findings&amp;Recommendations_6'!#REF!</definedName>
    <definedName name="_20983c61_c284_48d8_b87e_a9ac4854a3a4" comment="Display Map">'PR Expenditure_7A'!$A$22:$Q$22</definedName>
    <definedName name="_2169bd94_e0fa_4d2a_8a98_4137526dafab">'Cash Forecast_8A'!$E$71</definedName>
    <definedName name="_219fcf23_38c5_480b_92c2_55d84a3b972d">'Admin Sheet'!$D$2</definedName>
    <definedName name="_219ff17b_a9b9_4b3b_ad49_d9a27ad0d864">'Cash Forecast_8A'!$J$29</definedName>
    <definedName name="_21a32645_bee5_4d79_ad0d_7ff57467cefb">Disaggregation_1A!$N$9</definedName>
    <definedName name="_21c46a8d_93da_46e0_a7a2_8fe24ceb4d39">'Cash Forecast_8A'!$C$29</definedName>
    <definedName name="_2231cb92_7d38_49e4_9816_c1eed6bcae87">'Reference Records'!$D$12:$D$25</definedName>
    <definedName name="_223bc551_7f38_45a4_a202_f4990a2ef7e6">PRCashReconADMIN!$F$4</definedName>
    <definedName name="_225eb437_fd98_478e_acdb_e6decb5b26c0">'LFA Expenditure_7B'!$P$22</definedName>
    <definedName name="_22c84952_9caa_4452_a64a_c3af8c6876dc">'PR Expenditure_7A'!$S$25</definedName>
    <definedName name="_2315f23c_93dc_4ce7_9c63_454e1f56dd1d">'Grant Management_4'!$G$10</definedName>
    <definedName name="_233637c6_24f9_45a5_af86_5a3487e51cc7">'Admin Sheet'!$D$1</definedName>
    <definedName name="_25911028_0f67_4723_8659_b5c924ca6e8a">'LFA Expenditure_7B'!$Q$41</definedName>
    <definedName name="_25a3cd0b_6866_4ce2_bf22_b61872a77555">'Coverage Indicators_1B'!$U$10</definedName>
    <definedName name="_26f87514_931a_4d7a_af3c_a4a66c9f1e7b">'Cash Forecast_8A'!$N$29</definedName>
    <definedName name="_27f4b9fe_7570_46d7_b168_a609c0229fa7">'PR Expenditure_7A'!$O$64</definedName>
    <definedName name="_28629c3c_6465_4c01_aeec_8c404d525a96">'Reference Records'!$G$97</definedName>
    <definedName name="_28da5a53_81c6_4abc_977d_1a60698aee05">'Impact Outcome Indicators_1A'!$M$13</definedName>
    <definedName name="_28db3868_fae6_469a_a1e9_a72c39a3a421">CashForecastADMIN!$B$7</definedName>
    <definedName name="_28f05f2c_a8e7_486c_a624_df3ab63f462e" comment="Display Map">'PR Expenditure_7A'!$A$41:$Q$57</definedName>
    <definedName name="_292c06c9_ce35_492d_acd2_a7b81b0ac17e">Disaggregation_1A!$A$8:$Q$10</definedName>
    <definedName name="_2947641e_f93c_4d9b_b06c_5ccc98456ed8">CoverSheet!$D$8</definedName>
    <definedName name="_2a830e2d_048e_4d7d_b5e8_9bf8e001d74e">'Cash Forecast_8A'!$H$29</definedName>
    <definedName name="_2a8c7da7_7999_4023_9ca3_98d208e1a5c1">'Budget Variance_2F'!$J$15</definedName>
    <definedName name="_2bc6933d_04d2_4383_87a2_28ea612052e0">CashForecastADMIN!$B$14</definedName>
    <definedName name="_2bd667c2_b07c_4f85_9c17_437c87411b89">Procurement_3!#REF!</definedName>
    <definedName name="_2d180e5b_a8dc_4d88_ac6d_ea7f6a4ddc2e">'LFA_Findings&amp;Recommendations_6'!$A$9:$H$40</definedName>
    <definedName name="_2d4ea633_1065_472f_9f03_05290b260d4b">'Budget Variance_2F'!$D$15</definedName>
    <definedName name="_2daa7e64_d40c_4d4a_975a_1f8d56f905d8">Procurement_3!$N$75</definedName>
    <definedName name="_2de1d6dc_5d51_45ba_a57e_94fb61db207e">Disaggregation_1A!$I$7</definedName>
    <definedName name="_2e5e9857_4e10_4a56_973a_e59f4cde4437">'LFA_Findings&amp;Recommendations_6'!$G$10</definedName>
    <definedName name="_2ef7ad1b_f502_4237_84e2_742814fefb9b">'Grant Management_4'!$B$35:$N$35</definedName>
    <definedName name="_2f01cb3a_bd35_43f6_8a56_6c9ff15320bf">'Cash Forecast_8A'!$N$71</definedName>
    <definedName name="_2fa6b032_e3aa_4261_b4fa_b1d1cb907517">'PR Expenditure_7A'!$I$64</definedName>
    <definedName name="_30343b5b_c92d_4aa4_8ada_996a46d79bd8">Disaggregation_1B!$B$7</definedName>
    <definedName name="_308f36ed_3ec3_4b5e_a7ef_068e9efcfbfa">'PR Expenditure_7A'!$C$8</definedName>
    <definedName name="_30fc9f06_7286_4af3_98b9_86ab7a47b10c">'SR_Cash Reconciliation_2E'!$U$9</definedName>
    <definedName name="_314909c1_7186_48e4_ba7c_6411a723e39e">CashForecastADMIN!$B$6</definedName>
    <definedName name="_321bdd85_502b_4183_bd1b_084e665c8158">'Impact Outcome Indicators_1A'!$Y$13</definedName>
    <definedName name="_321ef185_1761_46fd_b52e_0d229344eff4">'Coverage Indicators_1B'!$B$10</definedName>
    <definedName name="_32df6307_1ed0_420d_b88e_8dc735aeddd8">'Cash Forecast_8A'!$D$96</definedName>
    <definedName name="_338b2845_6b5a_4d06_8aa4_bd4b04efa20c">Procurement_3!$N$77</definedName>
    <definedName name="_33b8ce3b_2fd9_4b5f_bfcc_332f0c1fcdb5">'PR Expenditure_7A'!$O$23</definedName>
    <definedName name="_33bfa495_fb7f_4857_83af_00e73a2bffff" comment="Display Map">'Cash Forecast_8A'!$B$88:$L$92</definedName>
    <definedName name="_33ec85e3_1d82_4661_af0c_de69c28064eb">CashForecastADMIN!$C$8</definedName>
    <definedName name="_34964a85_c5c7_49d6_b3c8_e09a85ac566c">'SR_Cash Reconciliation_2E'!$D$9</definedName>
    <definedName name="_34e80041_da16_4c7b_9e6e_de290a63a392">CoverSheet!$I$27</definedName>
    <definedName name="_35f4702c_4bdb_49e0_afbd_86118ef8c3d4">WPTM_1C!$H$7</definedName>
    <definedName name="_36ca5e67_0a0c_4eec_ab76_2cb16c50db12">'Impact Outcome Indicators_1A'!$AG$13</definedName>
    <definedName name="_377e3cfe_4a94_4eeb_b5ff_dcfbf98c515c">'PR Expenditure_7A'!$Q$23</definedName>
    <definedName name="_377f46e6_f164_47aa_9586_9c66d127899d">'LFA Expenditure_7B'!$S$24</definedName>
    <definedName name="_37b06c3e_105e_4ca8_9415_8855f3bd5b22">Disaggregation_1A!$N$7</definedName>
    <definedName name="_37db1711_8738_45c6_9643_fb2871345063">Disaggregation_1A!$M$9</definedName>
    <definedName name="_3832589c_f9a7_4728_859c_d0417e3813dd">'Cash Forecast_8A'!$E$29</definedName>
    <definedName name="_38d4a099_225a_4e24_9631_69f5e85de29b">'LFA Expenditure_7B'!$C$31</definedName>
    <definedName name="_396236b7_966e_4eb5_9f97_3c01d7538a3b">Disaggregation_1A!$F$9</definedName>
    <definedName name="_3a02ad2c_e6f6_4e6f_85e1_6ef9075011f3">'Budget Variance_2F'!$E$15</definedName>
    <definedName name="_3a76683f_d345_4c95_8282_5b5e21a22770">'Impact Outcome Indicators_1A'!$H$9</definedName>
    <definedName name="_3aacb349_ecc9_4ae9_85b0_6066ef0bf52b">'Impact Outcome Indicators_1A'!$L$9</definedName>
    <definedName name="_3ab3330c_cb0d_4fba_b19d_52bee4318bf8">'Coverage Indicators_1B'!$M$10</definedName>
    <definedName name="_3ad88ce5_1461_486f_ae0c_11869eafb3ce">Disaggregation_1A!$E$7</definedName>
    <definedName name="_3bf0c535_5ae3_4343_8684_0584859ef683">Disaggregation_1A!$D$7</definedName>
    <definedName name="_3c170bbf_05f9_4840_a645_d1b1e8cb4cf5">'Coverage Indicators_1B'!$I$10</definedName>
    <definedName name="_3caeb6c9_b0ca_41eb_a277_7ac32c045355">'Cash Forecast_8A'!$E$9</definedName>
    <definedName name="_3ccd8da5_d802_43be_bf96_8cd3e3e2ea6d">'Budget Variance_2F'!$J$9</definedName>
    <definedName name="_3d3793be_1e63_4bdf_9b9e_39ce0b9e6cac">'Cash Forecast_8A'!$N$40</definedName>
    <definedName name="_3e00c257_4141_4ab7_8332_40515322c73c">'Admin Sheet'!$B$41</definedName>
    <definedName name="_3e93aceb_0d50_4f6c_adf1_1b622b57f819">'LFA Expenditure_7B'!$B$63</definedName>
    <definedName name="_3ec0413f_896f_4c71_bf51_f8232da5a7f1">'Reference Records'!$D$6:$D$8</definedName>
    <definedName name="_3f193f7e_7899_40e4_8d74_00739199c1aa">'Admin Sheet'!$B$3</definedName>
    <definedName name="_407abfb8_1ae8_49c0_aa37_e10f8d81755a">'Impact Outcome Indicators_1A'!$S$9</definedName>
    <definedName name="_408bf7b7_ceb6_431f_b2bb_b34238526016">'Coverage Indicators_1B'!$Z$10</definedName>
    <definedName name="_415987cd_23a8_4581_bfec_60b857e66c57">'LFA Expenditure_7B'!$C$24</definedName>
    <definedName name="_41c524ab_256a_461a_bf83_8de5fd5e08e6">'Reference Records'!$E$30</definedName>
    <definedName name="_41e30b64_79d1_498f_a7a5_962c910761f9">'Cash Forecast_8A'!$F$9</definedName>
    <definedName name="_424ee8c5_eba0_475e_8ba9_3f82ba75ec3a">Disaggregation_1B!$S$7</definedName>
    <definedName name="_431bec30_9151_4575_ad35_63ae37a09dc9">'Cash Forecast_8A'!$B$86</definedName>
    <definedName name="_45028af2_2d25_4b6f_988e_f482a26f6734">'PR Expenditure_7A'!$A$64</definedName>
    <definedName name="_45eb9c53_c249_4d2a_a96a_0c5c02d7146e">'Cash Forecast_8A'!$K$29</definedName>
    <definedName name="_460623a4_b184_46d6_915b_acfa35cd6d89">'Cash Forecast_8A'!$P$9</definedName>
    <definedName name="_461e04ec_dba7_4056_9b90_03a3225274cd">WPTM_1C!$D$7</definedName>
    <definedName name="_465a1fab_530c_48d1_9b33_102e3fd3fa81">'Admin Sheet'!$A$4:$D$25</definedName>
    <definedName name="_46f2d228_fc85_4810_a397_5be40b6fee67">'Impact Outcome Indicators_1A'!$W$13</definedName>
    <definedName name="_4707885f_20f4_42ec_a075_05a190ee5fe0">'LFA Expenditure_7B'!$J$31</definedName>
    <definedName name="_47832571_541b_416c_9057_64568b517512">'Coverage Indicators_1B'!$J$10</definedName>
    <definedName name="_48ec914d_649a_4528_9a9c_240085790603">WPTM_1C!$J$7</definedName>
    <definedName name="_4a800aae_3447_45d9_9473_aa8691751a3a">'Cash Forecast_8A'!$J$40</definedName>
    <definedName name="_4a93397f_3f34_40fe_ada7_481d6cf821ac">'LFA Expenditure_7B'!$C$7</definedName>
    <definedName name="_4b2d5491_5d79_4b63_b12a_d8361f65ed0b">'SR_Cash Reconciliation_2E'!$I$9</definedName>
    <definedName name="_4b40c56f_b116_4ee3_ab9c_552d2b9dbc32">'PR Expenditure_7A'!$Q$42</definedName>
    <definedName name="_4b86dce4_479c_41c6_bdd0_81dfaf4cda01">'Reference Records'!$D$12</definedName>
    <definedName name="_4c7a6e00_b677_4862_bc71_3154b071a4dd">'Grant Management_4'!$B$36</definedName>
    <definedName name="_4cfc71e4_86e0_4c0d_9cdf_8ecc78cdfab9">'PR Expenditure_7A'!$O$8</definedName>
    <definedName name="_4d8e10b9_0bdb_4ebe_a4b5_40513543381d">'LFA_Findings&amp;Recommendations_6'!#REF!</definedName>
    <definedName name="_5068da6d_e013_40e3_b3ee_dd21ab9d37fb">'LFA_Findings&amp;Recommendations_6'!#REF!</definedName>
    <definedName name="_50ec6630_e2cf_43db_8ebd_50858b11dea8">'LFA Expenditure_7B'!$J$63</definedName>
    <definedName name="_514895ff_4e8b_44d9_9b3d_30a9ad058775">'PR Expenditure_7A'!$I$25</definedName>
    <definedName name="_516f8add_7223_4c28_9de0_b227f1f60194">'Reference Records'!$D$6</definedName>
    <definedName name="_51dd4bc0_d63f_42af_81c9_b4b5bc566e27">'Grant Management_4'!$D$36</definedName>
    <definedName name="_527b259f_39c4_4e0c_8947_7603437a1298">'Impact Outcome Indicators_1A'!$F$9</definedName>
    <definedName name="_536872f5_daee_4a8e_b4d3_6a37f5a235bb" comment="Display Map">'Reference Records'!$B$5:$D$7</definedName>
    <definedName name="_554ce22a_9256_467d_8887_638cce27773c">'LFA Expenditure_7B'!$B$41</definedName>
    <definedName name="_55922287_1b12_4f88_b1dd_2618af26db4e">'Cash Forecast_8A'!$C$96</definedName>
    <definedName name="_57005ff2_950a_4141_afce_488efdb62d9e">'Impact Outcome Indicators_1A'!$Q$9</definedName>
    <definedName name="_57b614ed_470d_4f1e_935b_7580de269c26">'Cash Forecast_8A'!$C$40</definedName>
    <definedName name="_58564aa4_6b8c_428f_8b6c_cd83e30b71b2">'Impact Outcome Indicators_1A'!$T$13</definedName>
    <definedName name="_590305a4_354d_455f_9c19_99f92989675f">'PR-LFA Evaluation_5'!$B$75</definedName>
    <definedName name="_59538c0f_b999_4a1b_9e7b_fc8d5f2f2f55">'Coverage Indicators_1B'!$L$10</definedName>
    <definedName name="_59993101_1a93_478b_b911_20339e33c237">'Coverage Indicators_1B'!$K$10</definedName>
    <definedName name="_5a566617_e436_4ccf_8032_ee1684b298e0">'LFA_Findings&amp;Recommendations_6'!$C$10</definedName>
    <definedName name="_5c2ff31a_29af_4328_9104_e38397cdb12e">'Impact Outcome Indicators_1A'!$I$9</definedName>
    <definedName name="_5c334e0e_1e9e_4965_86b0_bbb76a123743">'Reference Records'!$D$97</definedName>
    <definedName name="_5c3516a7_3509_4aa7_8a95_f1e36fa9a6c8">'Cash Forecast_8A'!$I$96</definedName>
    <definedName name="_5cd269ef_7142_49d6_add4_368f9ad6b959">Disaggregation_1A!$D$9</definedName>
    <definedName name="_5cf5a7ab_2350_4736_a5a5_9cc20a252c37">'Coverage Indicators_1B'!$A$10</definedName>
    <definedName name="_5de049d7_9d7f_4453_b2a9_101960421044">'LFA Expenditure_7B'!$E$31</definedName>
    <definedName name="_5f39f37e_37ef_4645_ac33_01c550adf845">Disaggregation_1A!$A$7</definedName>
    <definedName name="_5f593289_c434_4e8d_aedf_fcff8dcf0a26">'Admin Sheet'!$B$37</definedName>
    <definedName name="_612a8454_daa2_47ac_83df_0d63ca099dec">'LFA_Findings&amp;Recommendations_6'!$E$10</definedName>
    <definedName name="_617c1394_a80f_40b3_a447_1517c8b3f8d1">'Grant Management_4'!$N$36</definedName>
    <definedName name="_61b7089d_7d22_4c6a_83f1_4ebdc760aa84">'LFA Expenditure_7B'!$J$41</definedName>
    <definedName name="_61d810cd_f475_4657_8672_67b134ead424">Disaggregation_1A!$E$9</definedName>
    <definedName name="_62536a1f_c77c_4128_9432_944e212f234b">'Cash Forecast_8A'!$E$40</definedName>
    <definedName name="_636539b4_860a_40a9_a004_a3d2b42cf4c1">'PR Expenditure_7A'!$D$32</definedName>
    <definedName name="_63d0d962_36e9_404a_b617_9eca72792350">'PR Expenditure_7A'!$C$23</definedName>
    <definedName name="_63de3c2d_d128_46c7_964c_bece57bac3e4">'PR Expenditure_7A'!$A$23</definedName>
    <definedName name="_641c4a96_d4d7_40e2_8001_e4a0f85a9ef1">Disaggregation_1B!$W$7</definedName>
    <definedName name="_6490776e_8a59_4f9c_92d0_73d81e582ea1">'LFA_Findings&amp;Recommendations_6'!$B$10</definedName>
    <definedName name="_6519bc76_1f53_4831_8bf7_f83ce72228d9">'Admin Sheet'!$B$55</definedName>
    <definedName name="_666989ec_79a0_4714_9945_3adcb1bef0aa" comment="Display Map">CashForecastADMIN!$A$22:$F$25</definedName>
    <definedName name="_67005cbe_e8cc_4369_99b0_8a6074c50da7" comment="Display Map">'LFA Expenditure_7B'!$C$23:$S$23</definedName>
    <definedName name="_675ab760_530f_4636_bdcf_cba3a2a390a7">'LFA Expenditure_7B'!$K$24</definedName>
    <definedName name="_678488b4_802c_4c72_9833_80839f2b9ed7">'SR_Cash Reconciliation_2E'!$G$9</definedName>
    <definedName name="_68b1346b_0b92_4c45_ba58_6a7d2169c54e">'Cash Forecast_8A'!$F$96</definedName>
    <definedName name="_69981a7a_2094_458c_b681_399a8ac603bc">'LFA Expenditure_7B'!$O$31</definedName>
    <definedName name="_699ade08_f386_4f9b_a8c4_96d80c4d208f">Disaggregation_1A!$K$7</definedName>
    <definedName name="_6a5e943e_e255_4488_8f24_ec0cb647c321">'PR Expenditure_7A'!$J$25</definedName>
    <definedName name="_6af25c57_be17_4a7d_a985_4c222f3c9c88">CashForecastADMIN!$C$6</definedName>
    <definedName name="_6b398e43_e08e_4385_96a1_120177eec057">'PR Expenditure_7A'!$O$32</definedName>
    <definedName name="_6b5004b6_2200_4372_84df_4c730adf8091">'PR Expenditure_7A'!$J$23</definedName>
    <definedName name="_6c57a552_06ab_4006_a031_02394826f1d4">'Cash Forecast_8A'!$H$89</definedName>
    <definedName name="_6d168ce9_a1d2_4699_adea_5ae5beaa103c">Disaggregation_1B!$J$7</definedName>
    <definedName name="_6d7106e7_da89_4674_b333_4882a2c9b2b1">'Budget Variance_2F'!$D$24</definedName>
    <definedName name="_6d9f3fdf_2744_4471_927e_45b666990c15">'Impact Outcome Indicators_1A'!$X$9</definedName>
    <definedName name="_6eb3b115_6a25_4c98_a69e_0ff4615eadfb">'PR Expenditure_7A'!$C$32</definedName>
    <definedName name="_6f97f01f_4bc3_4136_b63b_d6ae4c54bafa">'Grant Management_4'!$H$10</definedName>
    <definedName name="_6fa1f59d_055e_46ae_b56e_09c97c3c2fea">WPTM_1C!$T$7</definedName>
    <definedName name="_709114c1_2213_4fc4_b5c6_058cfbd327df">CoverSheet!$D$9</definedName>
    <definedName name="_70a4dfcc_263c_427c_8385_8e1ff001bfaa">'Impact Outcome Indicators_1A'!$L$13</definedName>
    <definedName name="_70cb3929_4b10_4040_9c22_c3754c9672f7">CashForecastADMIN!$C$5</definedName>
    <definedName name="_70f6aa21_d242_4b8d_990d_5abb59ff3285">'Grant Management_4'!$G$36</definedName>
    <definedName name="_72c449e3_f244_4e2e_8a6d_6c6cbfd98f45">Disaggregation_1B!$H$7</definedName>
    <definedName name="_73272afa_f4ea_4501_be5a_0ba20efa776f">'PR Expenditure_7A'!$B$42</definedName>
    <definedName name="_736e1e6c_0c52_4d1c_8f60_d7988557b754">'Impact Outcome Indicators_1A'!$U$9</definedName>
    <definedName name="_748d3a5d_9446_4c7e_9a25_6c77cbd45a47">'Impact Outcome Indicators_1A'!$R$13</definedName>
    <definedName name="_749a368e_b003_46f6_bce5_283c956630a1">'Cash Forecast_8A'!$L$89</definedName>
    <definedName name="_75512f83_8f24_4459_ad69_19ce2f62fb94">'PR-LFA Evaluation_5'!$B$74</definedName>
    <definedName name="_758a5839_c252_4db3_aede_66e9ffa48fa1">'Cash Forecast_8A'!$F$89</definedName>
    <definedName name="_75e4f523_fc4e_408b_bf34_2a3255e2c420">'LFA Expenditure_7B'!$E$22</definedName>
    <definedName name="_7698e521_b7e7_4967_8491_cdb70da1e187">'Cash Forecast_8A'!$F$29</definedName>
    <definedName name="_769ed643_4fd1_466e_b30b_7a7748b36016">'Reference Records'!$B$97</definedName>
    <definedName name="_76ae2b12_c624_4f16_85f3_4071c3059180">'Coverage Indicators_1B'!$O$10</definedName>
    <definedName name="_78148f48_50a8_428a_be72_0fc330c70c7f">'PR Expenditure_7A'!$I$32</definedName>
    <definedName name="_790ca257_b17b_4838_bbaa_36a9033dae98">'Impact Outcome Indicators_1A'!$D$8:$AG$11</definedName>
    <definedName name="_7929ede1_eecb_40d0_a808_6842339b9b86">'Impact Outcome Indicators_1A'!$X$13</definedName>
    <definedName name="_79607036_1c4b_46dc_98a2_0f5979da3fa8">'LFA Expenditure_7B'!$K$22</definedName>
    <definedName name="_7a8028f8_4b30_4728_b94d_884656fc0319">'Cash Forecast_8A'!$J$9</definedName>
    <definedName name="_7ad1e768_db76_49b8_a946_8d89cf7470de">Disaggregation_1A!$G$7</definedName>
    <definedName name="_7ae038b4_1c29_42ca_83fa_657d1f5d5870">'Cash Forecast_8A'!$H$86</definedName>
    <definedName name="_7b393259_6548_48dd_8839_62d2c4dfded4">'Cash Forecast_8A'!$J$71</definedName>
    <definedName name="_7b6be502_bf3e_408e_a2d2_798841dd96dc" comment="Display Map">'Cash Forecast_8A'!$A$70:$P$74</definedName>
    <definedName name="_7b89e4e6_0344_44eb_92e7_8bc3efa8a949">'Admin Sheet'!$B$51</definedName>
    <definedName name="_7c652366_7c7b_454d_9a77_d85b2ab0e7cc">Disaggregation_1B!$R$7</definedName>
    <definedName name="_7c7e16cc_6ce9_4025_b599_86aad417bb87">'Cash Forecast_8A'!$A$29</definedName>
    <definedName name="_7d5805b9_04de_45ec_ad2f_4a4de01c1a8a">'Budget Variance_2F'!$K$15</definedName>
    <definedName name="_7dbeb4e3_7cb9_4ecf_a0c8_036ad7d04344">'PR Expenditure_7A'!$B$32</definedName>
    <definedName name="_7dc1f2e5_6eb6_496d_ae61_7dd2537468fc">'PR Expenditure_7A'!$C$25</definedName>
    <definedName name="_7dcc54eb_edac_4b3d_824b_70d4d90e2ae4">'Admin Sheet'!$B$91</definedName>
    <definedName name="_80b2c634_703e_40c4_88fb_6d5b1ddd597f">'Impact Outcome Indicators_1A'!$M$9</definedName>
    <definedName name="_817f9e6c_ce9d_4260_aeaa_08df00e46b0c">'Cash Forecast_8A'!$R$40</definedName>
    <definedName name="_81a7db1f_c556_4d4f_8dd1_31b0935d6065">'LFA_Findings&amp;Recommendations_6'!#REF!</definedName>
    <definedName name="_81f030a8_0abe_44db_866b_fa9722f775f6">'LFA Expenditure_7B'!$A$63</definedName>
    <definedName name="_821ac24a_565b_42ef_8952_c8b86aeeb553">CoverSheet!$L$6</definedName>
    <definedName name="_828fcacc_c0ce_498a_854e_cff6be44a7e7">CashForecastADMIN!$C$14</definedName>
    <definedName name="_82daa8e0_d4cc_4fea_90e8_8c2ed1ce7fa6">CoverSheet!$I$25</definedName>
    <definedName name="_84023e98_8f2a_4bbc_b75d_d7ba0807f700">'Budget Variance_2F'!$J$29</definedName>
    <definedName name="_843905fe_c8ec_4f4f_b0ab_8695f5c2a0e3">Disaggregation_1B!$K$7</definedName>
    <definedName name="_85941f29_7d58_4bd7_be53_366d6a653d25">'Cash Forecast_8A'!$H$71</definedName>
    <definedName name="_85eeb1e8_72c1_4b49_82a8_09395964fb28">'PR Expenditure_7A'!$D$8</definedName>
    <definedName name="_86120cd2_c87e_442b_bc1c_570556855fad">'Cash Forecast_8A'!$I$89</definedName>
    <definedName name="_86338234_e740_41b9_8435_a748146e4c75">'Cash Forecast_8A'!$D$89</definedName>
    <definedName name="_86f75f42_c314_4da4_a58a_c92098769a3a">Disaggregation_1B!$L$7</definedName>
    <definedName name="_8767fd0c_a534_4edd_8c61_b63663bd2d64">CoverSheet!$D$12</definedName>
    <definedName name="_897815d1_a446_41b7_9de9_93fa23336a81">'Budget Variance_2F'!$E$29</definedName>
    <definedName name="_8c02e64b_da79_47a4_bfca_697124eaed5f">'Coverage Indicators_1B'!$P$10</definedName>
    <definedName name="_8c7e539e_f1c9_4602_9453_b5242ed3986a">'Cash Forecast_8A'!$F$40</definedName>
    <definedName name="_8d19df97_332b_4eb0_b244_dc33441e0ea5">'Cash Forecast_8A'!$A$9</definedName>
    <definedName name="_8d98b92c_14c3_4984_81c1_ee7af34df5e8">'Coverage Indicators_1B'!$W$10</definedName>
    <definedName name="_8e332663_c8f1_4e93_bd55_66589a27623a">CashForecastADMIN!$A$23</definedName>
    <definedName name="_8e75ea13_3e01_4498_975d_7da89c2b8d44">'Impact Outcome Indicators_1A'!$Y$9</definedName>
    <definedName name="_8f1e09bc_b5b2_4886_89cb_dbb0c418f286">Disaggregation_1A!$F$7</definedName>
    <definedName name="_8f2e63e1_9ca3_4deb_88e1_4210a017aecb">'Coverage Indicators_1B'!$D$10</definedName>
    <definedName name="_9009aeb2_3a8c_475d_a8d7_4476fd58d031">'Impact Outcome Indicators_1A'!$H$13</definedName>
    <definedName name="_905b37a9_75a9_4dc7_bbb7_5fe9d79b83ba">PRCashReconADMIN!$C$4</definedName>
    <definedName name="_91cd3777_db5e_4104_944b_efd6b99cf537">CashForecastADMIN!$F$14</definedName>
    <definedName name="_91d39eae_60d7_4baf_94ce_36f0e5bd8a25">'Grant Management_4'!$N$10</definedName>
    <definedName name="_92414b91_9955_428d_bf1e_078978840377">'Grant Management_4'!$B$9:$N$20</definedName>
    <definedName name="_92be6f34_d8e8_493f_b967_4d804c3f7f94">'Impact Outcome Indicators_1A'!$O$9</definedName>
    <definedName name="_9363a3c5_852b_485d_b237_7b0e753689bf">Disaggregation_1B!$P$7</definedName>
    <definedName name="_93c5a35d_24bf_47f9_a9dc_a82615cc2786">'Coverage Indicators_1B'!#REF!</definedName>
    <definedName name="_93d522ee_1954_4576_9f10_ef534c181632">Disaggregation_1B!$C$7</definedName>
    <definedName name="_9428f9f8_75e4_4e3c_8fb4_af8c020c93c4">'Cash Forecast_8A'!$B$40</definedName>
    <definedName name="_94f02acd_45a1_4d57_9c86_171c94224b6b">'LFA Expenditure_7B'!$K$31</definedName>
    <definedName name="_955abfbb_04b4_4f91_bc70_0638e717b29d">'SR_Cash Reconciliation_2E'!$L$9</definedName>
    <definedName name="_960c0f0f_3ed9_43e3_b364_f280a5374eb5">CashForecastADMIN!$B$3</definedName>
    <definedName name="_9614e773_c9e5_4a65_98fe_8330035c9b60">'SR_Cash Reconciliation_2E'!$B$9</definedName>
    <definedName name="_96c51cca_df85_4b74_ba46_cad1bf1d8ff7">'Impact Outcome Indicators_1A'!$E$9</definedName>
    <definedName name="_96e64bb3_a56a_457f_a669_ab515fdb35e2">WPTM_1C!$O$7</definedName>
    <definedName name="_9791e5d5_2a27_41de_b4ba_9353d2f28e84">'LFA Expenditure_7B'!$A$22</definedName>
    <definedName name="_97a54aac_5608_4a3c_82a2_8aa7d06eadfb">'Admin Sheet'!$A$5</definedName>
    <definedName name="_989c2827_c14c_41f9_a684_78dea225fefe">Disaggregation_1B!$Q$7</definedName>
    <definedName name="_98c17fc0_7b46_4570_a906_87733aff66d1">CashForecastADMIN!$B$23</definedName>
    <definedName name="_98cfcffe_1aff_4635_a40c_40b2bc2077cf">'PR Expenditure_7A'!$J$32</definedName>
    <definedName name="_98f0ce9e_27b8_452b_beed_a820634b68b6">'Cash Forecast_8A'!$P$71</definedName>
    <definedName name="_999ca3c3_e3bb_41b8_9cf1_e3fc9b914b24" comment="Display Map">'LFA Expenditure_7B'!$A$6:$P$20</definedName>
    <definedName name="_99a7e594_f9cd_40b7_8b51_07b7b2d24feb">'SR_Cash Reconciliation_2E'!$A$9</definedName>
    <definedName name="_9b3e0f2f_1d05_4460_8022_47cf311f932d">'Cash Forecast_8A'!$L$96</definedName>
    <definedName name="_9b87da26_3966_4d06_8d69_572350087570">'LFA_Findings&amp;Recommendations_6'!$H$10</definedName>
    <definedName name="_9c306ac7_2fa5_4c9e_968d_62f9c3592a55">CashForecastADMIN!$B$4</definedName>
    <definedName name="_9c5b7007_4f7c_4499_b8e2_5a3485dc7840">Disaggregation_1A!$C$7</definedName>
    <definedName name="_9d7d1ef8_2660_4434_ac14_3fee7d5f54c4">'Budget Variance_2F'!$D$30</definedName>
    <definedName name="_9e794b44_3863_4a9f_b89a_49b9635b561d">'LFA Expenditure_7B'!$B$31</definedName>
    <definedName name="_9f084c9d_f9b2_422a_bdc7_78e27b1a160f">'Coverage Indicators_1B'!$F$10</definedName>
    <definedName name="_9fe2e788_357f_47dd_b7d6_5c45c33dfa98">CashForecastADMIN!$C$23</definedName>
    <definedName name="_a0b622c9_98b2_4630_9ed3_15d234bf7cef">'Cash Forecast_8A'!$E$96</definedName>
    <definedName name="_a0e5c2bb_ab6b_45a7_9cfa_8d7b3be40060" comment="Display Map">'Reference Records'!$B$29:$K$93</definedName>
    <definedName name="_a0e6ac39_9c8f_4345_bde2_1b7066b4fc97">'Coverage Indicators_1B'!$AJ$10</definedName>
    <definedName name="_a152f39c_0299_474a_83bb_d664943edf00">Disaggregation_1A!$G$9</definedName>
    <definedName name="_a3a32659_6aa3_44f1_b745_140172150b4f">'Impact Outcome Indicators_1A'!$K$9</definedName>
    <definedName name="_a3c03fcc_8cdf_4603_b8f2_ddf9dc839170">'Coverage Indicators_1B'!$T$10</definedName>
    <definedName name="_a487d099_ebf5_4e80_a3ac_0320b5cc601e">'Cash Forecast_8A'!$C$71</definedName>
    <definedName name="_a4bcdea1_6c46_4e16_bf84_e701dcf2de7f">'PR Expenditure_7A'!$D$64</definedName>
    <definedName name="_a4e47151_1e06_4f46_9020_1dfb6efab6d5">'Impact Outcome Indicators_1A'!$J$9</definedName>
    <definedName name="_a50fa4bf_a65b_4051_ab46_bd13a09c13f1" comment="Display Map">CashForecastADMIN!$A$13:$F$18</definedName>
    <definedName name="_a53ab4d5_dde0_4363_b9ba_0b32c4bc44f8">'Grant Management_4'!$B$10</definedName>
    <definedName name="_a63a5afa_9c82_49af_bc8d_b9958c601886">'Cash Forecast_8A'!$D$86</definedName>
    <definedName name="_a7096e49_274f_4c7e_a441_aee265d13f2c">'Admin Sheet'!$B$5</definedName>
    <definedName name="_a8491438_4c6d_4ec1_8b27_5f76cd531b3b">'Coverage Indicators_1B'!$V$10</definedName>
    <definedName name="_a8f5594e_eb9b_4e9f_a7c7_5edbcbdca844">'Impact Outcome Indicators_1A'!$G$13</definedName>
    <definedName name="_a9ccc8f1_8724_4060_96e9_a502de45e80f">CoverSheet!$D$7</definedName>
    <definedName name="_aa0326f5_9d2c_4ee6_960a_7993513a04d7">'Cash Forecast_8A'!$D$9</definedName>
    <definedName name="_aa5ead3e_557d_4910_a49c_ae684c1815ac" comment="Display Map">'Cash Forecast_8A'!$A$8:$Q$22</definedName>
    <definedName name="_aabb928f_a3e7_4ff6_8913_314ead19223b">Procurement_3!$N$74</definedName>
    <definedName name="_aacf09a1_19e2_4d83_8bc5_b600e9d2e175">'PR Expenditure_7A'!$A$42</definedName>
    <definedName name="_ab9e4a0a_8343_4ca2_991d_3feab59553b9">'LFA Expenditure_7B'!$A$31</definedName>
    <definedName name="_abff7f96_628b_4f2d_b93c_92e3608da5bf">'Cash Forecast_8A'!$H$96</definedName>
    <definedName name="_ac9005bd_9205_4261_9cb0_d99c2c1f84d3">'Budget Variance_2F'!$K$14</definedName>
    <definedName name="_ad31191b_1bcc_4426_8a4a_22beb2bacf3e">'Cash Forecast_8A'!$E$89</definedName>
    <definedName name="_ad76e3d7_6daf_4510_9a14_9a543749c1a1">'LFA_Findings&amp;Recommendations_6'!#REF!</definedName>
    <definedName name="_ae6e512b_3d95_422b_a798_3e57d4839693">Disaggregation_1A!$L$7</definedName>
    <definedName name="_aead412b_8254_41c2_8088_9961653408c7">'Impact Outcome Indicators_1A'!$R$9</definedName>
    <definedName name="_aeee331d_30f2_43a3_bc5e_667269ffa690">WPTM_1C!$E$7</definedName>
    <definedName name="_aef8f1fd_5698_4092_9f72_25edc8264d8f">CashForecastADMIN!$B$8</definedName>
    <definedName name="_afc232cf_c169_4be7_b0a3_1e865da48842">PRCashReconADMIN!$E$4</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125e86e_9d66_4365_850e_c6fcb87c9db9" comment="Display Map">'LFA Expenditure_7B'!$A$40:$Q$56</definedName>
    <definedName name="_b186ff72_d27c_4574_9db4_ca7e741ae8fd">WPTM_1C!$G$7</definedName>
    <definedName name="_b1bd3437_f548_46c9_a743_a7c0ae1110ea">'Impact Outcome Indicators_1A'!$D$12:$AG$16</definedName>
    <definedName name="_b1e78b22_ad2a_40fe_8a4b_20590db644a8">'Grant Management_4'!$D$10</definedName>
    <definedName name="_b2430fc4_c651_4ab6_8cfc_33f42945100b">'Budget Variance_2F'!$J$25</definedName>
    <definedName name="_b2b126a7_37a8_4970_b2b4_da841f576d0b">Procurement_3!$N$76</definedName>
    <definedName name="_b3402e96_ad7f_4f9e_abba_7219e3e7f169">'SR_Cash Reconciliation_2E'!$T$9</definedName>
    <definedName name="_b3c06770_56af_48f0_b86d_700901b7ef8e">CoverSheet!$I$23</definedName>
    <definedName name="_b42cef75_de51_4350_b638_2f07adb11308">'Reference Records'!$B$30</definedName>
    <definedName name="_b44e8b63_af98_411f_94c0_2ef69a3cbf9c">CashForecastADMIN!$C$7</definedName>
    <definedName name="_b4666379_0acb_4d72_8cb2_d396f19f20fb">'PR Expenditure_7A'!$B$64</definedName>
    <definedName name="_b469d84c_52e5_4a92_80e2_49eaccc7c9d8">'Cash Forecast_8A'!$H$40</definedName>
    <definedName name="_b4a2f630_f255_4664_8c2b_7947332e436a">'LFA Expenditure_7B'!$K$7</definedName>
    <definedName name="_b59cdd47_5a03_418a_a423_467413d9ca30">'Cash Forecast_8A'!$K$9</definedName>
    <definedName name="_b6114804_a017_46d0_9f40_23ddfb7f05e2">'Admin Sheet'!$B$1</definedName>
    <definedName name="_b6b54932_bbc2_49d5_aaf8_e808d8b9cd49">Disaggregation_1B!$O$7</definedName>
    <definedName name="_b76185d1_9a98_4f6b_85a8_601864a44afc">Procurement_3!$N$73</definedName>
    <definedName name="_b7aa4414_545a_47a0_9ab1_97f12b5643c8">CoverSheet!$D$26</definedName>
    <definedName name="_b82ba3a9_c40d_4b22_8394_822d445f79b0">WPTM_1C!$L$7</definedName>
    <definedName name="_ba289966_f8e1_4c44_9e87_499ccb8fdf22">'SR_Cash Reconciliation_2E'!$C$9</definedName>
    <definedName name="_ba5ae70c_90ea_458f_8bfb_fb96038936c1">Disaggregation_1B!$N$7</definedName>
    <definedName name="_bb2b664c_d994_4da7_9913_b0f0638e6f07">'Grant Management_4'!$E$10</definedName>
    <definedName name="_bb78ca4d_3bdb_4902_91ad_351d3aaf25d7">'LFA Expenditure_7B'!$E$63</definedName>
    <definedName name="_bbb2a3c7_fcc5_4f75_9548_acbad2960a5c">'LFA_Findings&amp;Recommendations_6'!#REF!</definedName>
    <definedName name="_bcdb1279_07d1_4285_97f0_798754ffbfa3" comment="Display Map">'PR Expenditure_7A'!$A$7:$P$21</definedName>
    <definedName name="_bd0083e1_f86a_4f04_9e49_0e115045f089">WPTM_1C!$C$7</definedName>
    <definedName name="_bf8c45d7_5526_406e_acc6_43ad293f5dc3">'Impact Outcome Indicators_1A'!$F$13</definedName>
    <definedName name="_bfca0c3b_63d2_403b_8c24_9e68e1b816f3">'LFA Expenditure_7B'!$C$22</definedName>
    <definedName name="_c0012965_1bb8_4721_88e9_cf24fe38dc4b">CoverSheet!$D$11</definedName>
    <definedName name="_c02cc35b_42a3_48a4_8353_37680357616a">'Grant Management_4'!$E$36</definedName>
    <definedName name="_c09a840c_dd8d_4c5b_8af2_cf513d16b38b">'PR Expenditure_7A'!$J$8</definedName>
    <definedName name="_c0e49844_e8e9_46b7_8dd6_d1ce51cd99dc">'Impact Outcome Indicators_1A'!$D$13</definedName>
    <definedName name="_c12be6ab_2ea0_4379_96d1_4ce4d00f81c5">'Admin Sheet'!$C$5</definedName>
    <definedName name="_c16326e7_890b_4dc5_a434_82c1232a5011">'PR Expenditure_7A'!$J$42</definedName>
    <definedName name="_c17a838e_326f_48c5_aefb_9da20f8fb171">Disaggregation_1A!$J$9</definedName>
    <definedName name="_c2b697b8_3018_463b_b36a_25a1ed68b353" comment="Display Map">'Reference Records'!$B$11:$K$24</definedName>
    <definedName name="_c2c7d249_8392_4a87_b980_0f7dc06d0315">'Cash Forecast_8A'!$H$9</definedName>
    <definedName name="_c2e81fb1_9280_44b9_a71b_89150648439b">CashForecastADMIN!$A$14</definedName>
    <definedName name="_c33dda3f_cea6_4dab_9d53_2eaafd157ffd">CoverSheet!$D$6</definedName>
    <definedName name="_c374b739_a6e3_48f1_9566_cd3f880774d2">'Impact Outcome Indicators_1A'!$V$9</definedName>
    <definedName name="_c3bd0cf9_281c_40da_94a3_1d32582a58f0">'Cash Forecast_8A'!$P$29</definedName>
    <definedName name="_c49e9f3d_7c20_4b0f_bdf1_63ce7fca48c7">'PR Expenditure_7A'!$P$8</definedName>
    <definedName name="_c4c2e611_e730_424f_8c55_c695aa4e2efc">Disaggregation_1A!$I$9</definedName>
    <definedName name="_c52c03a8_957d_4edc_b38e_fe8ab92e8528">'Reference Records'!$C$97</definedName>
    <definedName name="_c5a0b4ef_fe00_4861_a8ed_bb6df4e2f705" comment="Display Map">'Cash Forecast_8A'!$B$85:$L$87</definedName>
    <definedName name="_c5c1f3c5_5a49_4c11_a771_a5f1d4118da5">'PR Expenditure_7A'!$C$42</definedName>
    <definedName name="_c5fd0628_2313_4844_af68_24412f7cf2ec">'Budget Variance_2F'!$K$29</definedName>
    <definedName name="_c644c6fc_187d_410c_abff_0bd5233a8adc">'Impact Outcome Indicators_1A'!$AG$9</definedName>
    <definedName name="_c680f865_62ed_4a30_a3bb_65c5409134be">'Grant Management_4'!$H$36</definedName>
    <definedName name="_c7551a23_eb91_4b92_9af0_4e85592dd5bc">PRCashReconADMIN!$B$4</definedName>
    <definedName name="_c787154a_bcf4_4ffb_8f18_8626129c6542">'Budget Variance_2F'!$J$10</definedName>
    <definedName name="_c8a2fc92_1f23_452f_974e_b4c265d31398">'PR-LFA Evaluation_5'!$B$76</definedName>
    <definedName name="_c8ccf522_4366_402c_a664_dfc6a62c4789">'Budget Variance_2F'!$D$9</definedName>
    <definedName name="_c910d59c_d65b_4734_a446_34d376d19362">'Coverage Indicators_1B'!$C$10</definedName>
    <definedName name="_c9f5d224_bd1a_4fab_9418_475f26f8f021">'Cash Forecast_8A'!$C$89</definedName>
    <definedName name="_ca34193e_b3e6_4206_a41e_c8c0fc031558">'LFA Expenditure_7B'!$A$30:$O$39</definedName>
    <definedName name="_cab8fd3f_d979_4288_8f5b_e1f5abd1a54d">'Impact Outcome Indicators_1A'!$U$13</definedName>
    <definedName name="_cb7a19fc_1521_4a26_8da3_ece688a554e5" comment="Display Map">'PR Expenditure_7A'!$C$24:$S$24</definedName>
    <definedName name="_cbe0c0f8_d83c_4ce2_9bc7_b033aea9febb">'Cash Forecast_8A'!$B$96</definedName>
    <definedName name="_cc8b74af_27ca_4459_b6a4_3b6da646273f">Disaggregation_1A!$C$9</definedName>
    <definedName name="_cc94d5e0_095e_4b91_8e8f_72c95a0fe8a8">'Cash Forecast_8A'!$C$9</definedName>
    <definedName name="_cd2221fa_067a_4cd3_a398_6637140a5d9d">'LFA Expenditure_7B'!$O$7</definedName>
    <definedName name="_cd427965_e323_429d_afb8_aafa5cda351c">Disaggregation_1B!#REF!</definedName>
    <definedName name="_cd441392_f5ef_408f_b075_cc614f229c7d" comment="Save Map">'SR_Cash Reconciliation_2E'!$A$8:$U$109</definedName>
    <definedName name="_cd7b0ad9_e083_4350_9e50_25d037cfcd92">'Admin Sheet'!$B$44</definedName>
    <definedName name="_cf675f06_4970_47da_aa96_00ac87d6b9f7">'Impact Outcome Indicators_1A'!$Q$13</definedName>
    <definedName name="_cf7e5a4a_7a81_4f53_8acd_1e08bb06f384">'PR Expenditure_7A'!$O$25</definedName>
    <definedName name="_cf863922_f2f3_4b1f_bfb7_030b876e6879" comment="Display Map">'Reference Records'!$B$96:$G$173</definedName>
    <definedName name="_d09d69e0_6d5c_4718_b05b_3d1ea01d83ae">PRCashReconADMIN!$G$4</definedName>
    <definedName name="_d0decdca_4da7_4fd7_86f3_75ec17c29021">'Coverage Indicators_1B'!$H$10</definedName>
    <definedName name="_d12c0697_d96a_4c32_b86a_d840fdef3152">'Budget Variance_2F'!$J$14</definedName>
    <definedName name="_d28ae8c7_abc9_403d_acff_ffeb46d36899">'Cash Forecast_8A'!$K$71</definedName>
    <definedName name="_d2c412b5_e4e7_463b_901a_e8dbe0cec1a0">CashForecastADMIN!$B$5</definedName>
    <definedName name="_d33476ff_0cf1_4ba5_b99c_0d8a7960f349">'Budget Variance_2F'!$D$29</definedName>
    <definedName name="_d5095cc9_6836_45ad_bb4d_ce18a01f0d5e">'Admin Sheet'!$B$52</definedName>
    <definedName name="_d67820e9_5f56_46a6_a69a_c7147c0ff654">'Budget Variance_2F'!$K$30</definedName>
    <definedName name="_d6f12d73_3320_47a5_869c_2e298dd5ecdc">'LFA Expenditure_7B'!$A$41</definedName>
    <definedName name="_d7a433d0_8e0d_4af6_82eb_27275edd6418">'PR-LFA Evaluation_5'!$B$73</definedName>
    <definedName name="_d87dead1_55cd_4083_8471_a277a97bcdc1">CashForecastADMIN!$F$23</definedName>
    <definedName name="_d9af3e01_f905_4ca5_a911_0d8bc32fe491">'PR Expenditure_7A'!$P$23</definedName>
    <definedName name="_db07c652_41f2_4da1_a2a0_dd858261767c">'PR Expenditure_7A'!$A$32</definedName>
    <definedName name="_dbc2c0d8_ab82_4868_b277_e9b1acd9fc22">'LFA Expenditure_7B'!$K$63</definedName>
    <definedName name="_dbf20ee0_5f2c_44c2_afab_54cc7a7ae1d3">Disaggregation_1A!$A$9</definedName>
    <definedName name="_dc3802bd_0bcc_48e8_a56e_7e001b60fb1f">'LFA Expenditure_7B'!$E$41</definedName>
    <definedName name="_dca21445_e3d5_45ff_8329_04ded9c92a4b" comment="Display Map">'Cash Forecast_8A'!$A$39:$R$65</definedName>
    <definedName name="_dec07dcc_68bb_469c_b6be_7a80b61914fa">Disaggregation_1B!$T$7</definedName>
    <definedName name="_decf8602_3e8a_4efc_a645_28cb6031b3f3">'LFA Expenditure_7B'!$A$7</definedName>
    <definedName name="_df563686_de97_481c_91a5_78e1a29a5b49">'Cash Forecast_8A'!$I$86</definedName>
    <definedName name="_e03b2f22_4001_4501_a7d0_772383f2b72c">'Budget Variance_2F'!$D$10</definedName>
    <definedName name="_e0a760bf_2233_4bad_a3e7_062b2675cb32" comment="Display Map">'Cash Forecast_8A'!$B$95:$L$99</definedName>
    <definedName name="_e0d9307a_84d9_4e0a_9c20_075beac2a139">Disaggregation_1A!$L$9</definedName>
    <definedName name="_e1c93540_776b_480a_962b_51995b1d5eb4">'Coverage Indicators_1B'!$G$10</definedName>
    <definedName name="_e1cb609f_9ec8_423d_8cb8_d31f085d4cc6">'Reference Records'!$B$12</definedName>
    <definedName name="_e1efe092_89f5_47d1_a527_10833d17aa03">'LFA Expenditure_7B'!$C$63</definedName>
    <definedName name="_e37d662f_a375_40cf_8b01_58ac76092579">'PR Expenditure_7A'!$A$31:$O$40</definedName>
    <definedName name="_e3831145_f31a_4300_8ca4_d98e9c642781">'LFA Expenditure_7B'!$J$22</definedName>
    <definedName name="_e4ead8b7_e992_4757_9755_d6bcdaff8860">'Impact Outcome Indicators_1A'!$J$13</definedName>
    <definedName name="_e5421638_a6b5_438d_94fc_652485dab62d">'Admin Sheet'!$B$2</definedName>
    <definedName name="_e55c55ea_7bf4_4b0c_bee1_971627d94916">CoverSheet!$I$26</definedName>
    <definedName name="_e57f8791_77dd_4dd6_bffb_f438ed140b57">CoverSheet!$D$5</definedName>
    <definedName name="_e5dede5d_1b8b_4631_a00e_4033e58d5539">'PR Expenditure_7A'!$I$8</definedName>
    <definedName name="_e627e6e9_51c3_49b6_bde7_4be4a845656f">'Impact Outcome Indicators_1A'!$I$13</definedName>
    <definedName name="_e6be31ca_aade_422c_8414_ad7528dd2181">'Impact Outcome Indicators_1A'!$N$9</definedName>
    <definedName name="_e7acf3a1_32c0_4352_b059_9ce4059d552b">'Cash Forecast_8A'!$E$86</definedName>
    <definedName name="_e831f4d4_15cb_405c_b63a_03eeb71b7c8b">'Admin Sheet'!$D$5</definedName>
    <definedName name="_e896b249_4600_4a32_8d14_52dedf1c7052">'LFA Expenditure_7B'!$O$63</definedName>
    <definedName name="_ea3792b9_7f77_48b9_ab7d_7df856689769">'LFA Expenditure_7B'!$A$62:$O$66</definedName>
    <definedName name="_ea4b76b5_ac83_4728_8487_c82060bfdd1c">'LFA_Findings&amp;Recommendations_6'!$F$10</definedName>
    <definedName name="_ea657bbf_b925_4d2b_ad55_df3fbf460274">'LFA Expenditure_7B'!$K$41</definedName>
    <definedName name="_ea758705_9d8a_4de1_8f9d_57718ffded68">Disaggregation_1A!$H$7</definedName>
    <definedName name="_eaa41347_ca8c_4d22_825e_1f54d6969a99">WPTM_1C!$M$7</definedName>
    <definedName name="_eccb8966_8b0e_43c3_ac15_fb989c1b17cc">'PR Expenditure_7A'!$A$63:$O$67</definedName>
    <definedName name="_ee3953a0_0762_4f4b_9414_c2e68ae1e508">'SR_Cash Reconciliation_2E'!$E$9</definedName>
    <definedName name="_ef7b0cd0_df14_41c4_8987_1bd54c07b400">Disaggregation_1B!$I$7</definedName>
    <definedName name="_f046dd6b_b221_4448_a441_9fbab923981b">Disaggregation_1A!$J$7</definedName>
    <definedName name="_f15caf03_cafb_4b4d_93fd_fccacb6ce43c">Disaggregation_1B!#REF!</definedName>
    <definedName name="_f19d3db5_6803_4c52_a7f3_f12bb423520f">'Cash Forecast_8A'!$N$9</definedName>
    <definedName name="_f1b2c2b2_5034_4fb9_8c0d_1dd46458948d">'Impact Outcome Indicators_1A'!$D$9</definedName>
    <definedName name="_f294efd2_f9ec_434f_ba05_11b96801a2f6">'LFA Expenditure_7B'!$P$7</definedName>
    <definedName name="_f3121d9e_1ff6_4055_831d_a6c005ae7be8">Disaggregation_1B!$A$7</definedName>
    <definedName name="_f41cfc95_8dd6_409d_95ae_e4643b781662">'LFA Expenditure_7B'!$O$24</definedName>
    <definedName name="_f49e361d_0ff0_4276_985a_acd52db231bd">'LFA Expenditure_7B'!$E$24</definedName>
    <definedName name="_f57307f2_e947_4578_a151_2a24e2f91d68">'Cash Forecast_8A'!$D$71</definedName>
    <definedName name="_f57a8230_8610_4d8b_9216_9ca95c567302">'PR Expenditure_7A'!$D$42</definedName>
    <definedName name="_f752cab7_c767_4cdd_b7e6_2ae82cd100c8">'Impact Outcome Indicators_1A'!$S$13</definedName>
    <definedName name="_f772748a_d651_42c2_a5ac_fb9059fad47f">'SR_Cash Reconciliation_2E'!$F$9</definedName>
    <definedName name="_f7772449_e71e_45a0_946f_3bbdb0779516">'Reference Records'!$B$6</definedName>
    <definedName name="_f77f33f2_e290_4e7b_ba4e_db8392ec2976">WPTM_1C!$F$7</definedName>
    <definedName name="_f7e17039_2166_4d2d_9342_c6aa02461662">'PR Expenditure_7A'!$I$23</definedName>
    <definedName name="_f7e1854d_7269_4cb6_a133_fe1a7c81f891">'Cash Forecast_8A'!$D$29</definedName>
    <definedName name="_f85c19e7_350e_45c4_8500_6a24417e8f8f">'Cash Forecast_8A'!$F$86</definedName>
    <definedName name="_f8df3b89_cad3_483f_b0d8_771b6cb277fa">'Impact Outcome Indicators_1A'!$T$9</definedName>
    <definedName name="_f9087935_d4f9_4e9d_a597_8a84999668d4">'Coverage Indicators_1B'!$Y$10</definedName>
    <definedName name="_fa319343_7ec9_4ddd_b576_c3984e87967d">'Impact Outcome Indicators_1A'!$G$9</definedName>
    <definedName name="_fa526e39_564b_4569_b4fd_db1bac068866">Disaggregation_1B!$G$7</definedName>
    <definedName name="_fb234f58_3c7d_4b54_a3f3_f6a012864e61">Disaggregation_1B!$F$7</definedName>
    <definedName name="_fb355c7f_9415_4b1f_ba3e_3c63aa6ca91d">Disaggregation_1A!$K$9</definedName>
    <definedName name="_fb691d96_11a4_4b60_af9b_f044e0536104">'PR Expenditure_7A'!$I$42</definedName>
    <definedName name="_fdebf3c0_91c2_4d39_bfdd_5fd9c5709d53">WPTM_1C!$A$7</definedName>
    <definedName name="_fe298dd5_3965_40b3_b7a7_67f87680a6a4">Disaggregation_1A!$Q$7</definedName>
    <definedName name="_fe88ddaa_0ce8_4771_a7cd_8d9fb692d556">PRCashReconADMIN!$D$4</definedName>
    <definedName name="_fee4b8f2_7f91_4a7d_848b_c517cadfc4ec">'Cash Forecast_8A'!$B$89</definedName>
    <definedName name="_fefe4dfc_68c7_4b1b_bb8b_a7e06305fa21">'Impact Outcome Indicators_1A'!$V$13</definedName>
    <definedName name="_xlnm._FilterDatabase" localSheetId="19" hidden="1">'Cash Forecast_8A'!$A$39:$R$65</definedName>
    <definedName name="_xlnm._FilterDatabase" localSheetId="4" hidden="1">'Coverage Indicators_1B'!$A$8:$AJ$13</definedName>
    <definedName name="_xlnm._FilterDatabase" localSheetId="3" hidden="1">Disaggregation_1A!$A$8:$Q$10</definedName>
    <definedName name="_xlnm._FilterDatabase" localSheetId="5" hidden="1">Disaggregation_1B!$A$5:$W$13</definedName>
    <definedName name="_xlnm._FilterDatabase" localSheetId="24" hidden="1">'Financial Triggers_10'!$A$5:$F$15</definedName>
    <definedName name="_xlnm._FilterDatabase" localSheetId="12" hidden="1">'Grant Management_4'!$B$9:$N$20</definedName>
    <definedName name="_xlnm._FilterDatabase" localSheetId="2" hidden="1">'Impact Outcome Indicators_1A'!$A$12:$AG$16</definedName>
    <definedName name="_xlnm._FilterDatabase" localSheetId="17" hidden="1">'LFA Expenditure_7B'!$A$40:$Q$56</definedName>
    <definedName name="_xlnm._FilterDatabase" localSheetId="14" hidden="1">'LFA_Findings&amp;Recommendations_6'!$A$9:$H$40</definedName>
    <definedName name="_xlnm._FilterDatabase" localSheetId="15" hidden="1">'PR Expenditure_7A'!$A$41:$Q$57</definedName>
    <definedName name="_xlnm._FilterDatabase" localSheetId="9" hidden="1">'SR_Cash Reconciliation_2E'!$A$8:$U$109</definedName>
    <definedName name="_xlnm._FilterDatabase" localSheetId="6" hidden="1">WPTM_1C!$A$6:$T$8</definedName>
    <definedName name="_Key1" localSheetId="0" hidden="1">#REF!</definedName>
    <definedName name="_Key1" hidden="1">#REF!</definedName>
    <definedName name="_Key1_2" localSheetId="0" hidden="1">#REF!</definedName>
    <definedName name="_Key1_2" hidden="1">#REF!</definedName>
    <definedName name="_Order1" hidden="1">255</definedName>
    <definedName name="_Sort" localSheetId="0" hidden="1">#REF!</definedName>
    <definedName name="_Sort" hidden="1">#REF!</definedName>
    <definedName name="_Sort2" localSheetId="0" hidden="1">#REF!</definedName>
    <definedName name="_Sort2" hidden="1">#REF!</definedName>
    <definedName name="_UNDO31X31X_" hidden="1">'[1]Board approved (delta)'!$G:$G,'[1]Board approved (delta)'!$J:$J,'[1]Board approved (delta)'!$M:$M</definedName>
    <definedName name="A">#REF!</definedName>
    <definedName name="Active_case_detection_and_investigation__elimination_phase">#REF!</definedName>
    <definedName name="adminfee">'[2]Range Page'!$A$38</definedName>
    <definedName name="Afghanistan">#REF!</definedName>
    <definedName name="Age" localSheetId="0">#REF!</definedName>
    <definedName name="Age" localSheetId="17">#REF!</definedName>
    <definedName name="Age" localSheetId="22">#REF!</definedName>
    <definedName name="Age">#REF!</definedName>
    <definedName name="AIM_Budget_Variance__c.AIM_Description__c">apttusmetadata!$AI$2:$AI$5</definedName>
    <definedName name="AIM_Coverage_Disaggregation__c.AIM_Year__c">apttusmetadata!$CF$2:$CF$25</definedName>
    <definedName name="AIM_Coverage_Disaggregation_Result__c.AIM_LFA_Source__c">apttusmetadata!$CH$2:$CH$32</definedName>
    <definedName name="AIM_Coverage_Disaggregation_Result__c.AIM_Source_PR__c">apttusmetadata!$CG$2:$CG$32</definedName>
    <definedName name="AIM_Coverage_Indicator__c.AIM_Cumulation_Type__c">apttusmetadata!$BZ$2:$BZ$4</definedName>
    <definedName name="AIM_Coverage_Indicator__c.AIM_Geographic_Coverage__c">apttusmetadata!$BY$2:$BY$3</definedName>
    <definedName name="AIM_Coverage_Indicator__c.AIM_Year__c">apttusmetadata!$CA$2:$CA$25</definedName>
    <definedName name="AIM_Coverage_Indicator_Targets_Results__c.AIM_Data_Source_Result_LFA__c">apttusmetadata!$CC$2:$CC$32</definedName>
    <definedName name="AIM_Coverage_Indicator_Targets_Results__c.AIM_Data_Source_Result_PR__c">apttusmetadata!$CD$2:$CD$32</definedName>
    <definedName name="AIM_Coverage_Indicator_Targets_Results__c.AIM_Due_for_Reporting__c">apttusmetadata!$CE$2:$CE$4</definedName>
    <definedName name="AIM_Coverage_Indicator_Targets_Results__c.AIM_Verification_Method_LFA__c">apttusmetadata!$CB$2:$CB$4</definedName>
    <definedName name="AIM_Grant_Requirement__c.AIM_Functional_Areas__c">apttusmetadata!$AK$2:$AK$6</definedName>
    <definedName name="AIM_Grant_Requirement__c.AIM_Status_LFA__c">apttusmetadata!$AQ$2:$AQ$5</definedName>
    <definedName name="AIM_Grant_Requirement__c.AIM_Status_PR__c">apttusmetadata!$AW$2:$AW$5</definedName>
    <definedName name="AIM_Grant_Requirement__c.Annual_Grant_Reporting__Requirements.AIM_Functional_Areas__c">apttusmetadata!$AL$2:$AL$6</definedName>
    <definedName name="AIM_Grant_Requirement__c.Annual_Grant_Reporting__Requirements.AIM_Status_LFA__c">apttusmetadata!$AR$2:$AR$5</definedName>
    <definedName name="AIM_Grant_Requirement__c.Annual_Grant_Reporting__Requirements.AIM_Status_PR__c">apttusmetadata!$AX$2:$AX$5</definedName>
    <definedName name="AIM_Grant_Requirement__c.Findings_and_Recomendations.AIM_Functional_Areas__c">apttusmetadata!$AM$2:$AM$6</definedName>
    <definedName name="AIM_Grant_Requirement__c.Findings_and_Recomendations.AIM_Status_LFA__c">apttusmetadata!$AS$2:$AS$5</definedName>
    <definedName name="AIM_Grant_Requirement__c.Findings_and_Recomendations.AIM_Status_PR__c">apttusmetadata!$AY$2:$AY$5</definedName>
    <definedName name="AIM_Grant_Requirement__c.Grant_Requirements.AIM_Functional_Areas__c">apttusmetadata!$AN$2:$AN$6</definedName>
    <definedName name="AIM_Grant_Requirement__c.Grant_Requirements.AIM_Status_LFA__c">apttusmetadata!$AT$2:$AT$5</definedName>
    <definedName name="AIM_Grant_Requirement__c.Grant_Requirements.AIM_Status_PR__c">apttusmetadata!$AZ$2:$AZ$5</definedName>
    <definedName name="AIM_Grant_Requirement__c.Management_Actions.AIM_Functional_Areas__c">apttusmetadata!$AO$2:$AO$6</definedName>
    <definedName name="AIM_Grant_Requirement__c.Management_Actions.AIM_Status_LFA__c">apttusmetadata!$AU$2:$AU$5</definedName>
    <definedName name="AIM_Grant_Requirement__c.Management_Actions.AIM_Status_PR__c">apttusmetadata!$BA$2:$BA$5</definedName>
    <definedName name="AIM_Grant_Requirement__c.Master.AIM_Functional_Areas__c">apttusmetadata!$AP$2:$AP$6</definedName>
    <definedName name="AIM_Grant_Requirement__c.Master.AIM_Status_LFA__c">apttusmetadata!$AV$2:$AV$5</definedName>
    <definedName name="AIM_Grant_Requirement__c.Master.AIM_Status_PR__c">apttusmetadata!$BB$2:$BB$5</definedName>
    <definedName name="AIM_Impact_Disagaggregation_Results__c.AIM_Result_Source_PR__c">apttusmetadata!$BL$2:$BL$32</definedName>
    <definedName name="AIM_Impact_Disagaggregation_Results__c.AIM_Verified_Result_Source_LFA__c">apttusmetadata!$BM$2:$BM$32</definedName>
    <definedName name="AIM_Impact_Disaggregation__c.AIM_Baseline_Year__c">apttusmetadata!$BK$2:$BK$25</definedName>
    <definedName name="AIM_Impact_Indicator__c.AIM_Baseline_Year__c">apttusmetadata!$BC$2:$BC$25</definedName>
    <definedName name="AIM_Impact_Indicator_Targets_Results__c.AIM_Data_Source_Result_LFA__c">apttusmetadata!$BH$2:$BH$32</definedName>
    <definedName name="AIM_Impact_Indicator_Targets_Results__c.AIM_Data_Source_Result_PR__c">apttusmetadata!$BI$2:$BI$32</definedName>
    <definedName name="AIM_Impact_Indicator_Targets_Results__c.AIM_Due_for_Reporting__c">apttusmetadata!$BJ$2:$BJ$4</definedName>
    <definedName name="AIM_Impact_Indicator_Targets_Results__c.AIM_Verification_Method_LFA__c">apttusmetadata!$BD$2:$BD$4</definedName>
    <definedName name="AIM_Impact_Indicator_Targets_Results__c.AIM_Year_of_Result_LFA__c">apttusmetadata!$BF$2:$BF$25</definedName>
    <definedName name="AIM_Impact_Indicator_Targets_Results__c.AIM_Year_of_Result_PR__c">apttusmetadata!$BG$2:$BG$25</definedName>
    <definedName name="AIM_Impact_Indicator_Targets_Results__c.AIM_Year_of_Target__c">apttusmetadata!$BE$2:$BE$25</definedName>
    <definedName name="AIM_Implementation_Period__c.AIM_Grant_Currency__c">apttusmetadata!$AA$2:$AA$158</definedName>
    <definedName name="AIM_Opt_Ins__c.AIM_Tab_Name__c">apttusmetadata!$CK$2:$CK$24</definedName>
    <definedName name="AIM_Opt_Ins__c.AIM_Type__c">apttusmetadata!$CL$2:$CL$4</definedName>
    <definedName name="AIM_Outcome_Disaggregation__c.AIM_Baseline_Year__c">apttusmetadata!$BV$2:$BV$25</definedName>
    <definedName name="AIM_Outcome_Disaggregation_Results__c.AIM_Result_Source_PR__c">apttusmetadata!$BW$2:$BW$32</definedName>
    <definedName name="AIM_Outcome_Disaggregation_Results__c.AIM_Verified_Result_Source_LFA__c">apttusmetadata!$BX$2:$BX$32</definedName>
    <definedName name="AIM_Outcome_Indicator__c.AIM_Baseline_Year__c">apttusmetadata!$BN$2:$BN$25</definedName>
    <definedName name="AIM_Outcome_Indicator_Targets_Result__c.AIM_Data_Source_Result_LFA__c">apttusmetadata!$BS$2:$BS$32</definedName>
    <definedName name="AIM_Outcome_Indicator_Targets_Result__c.AIM_Data_Source_Result_PR__c">apttusmetadata!$BT$2:$BT$32</definedName>
    <definedName name="AIM_Outcome_Indicator_Targets_Result__c.AIM_Due_for_Reporting__c">apttusmetadata!$BU$2:$BU$4</definedName>
    <definedName name="AIM_Outcome_Indicator_Targets_Result__c.AIM_Verification_Method_LFA__c">apttusmetadata!$BO$2:$BO$4</definedName>
    <definedName name="AIM_Outcome_Indicator_Targets_Result__c.AIM_Year_of_Result_LFA__c">apttusmetadata!$BQ$2:$BQ$25</definedName>
    <definedName name="AIM_Outcome_Indicator_Targets_Result__c.AIM_Year_of_Result_PR__c">apttusmetadata!$BR$2:$BR$25</definedName>
    <definedName name="AIM_Outcome_Indicator_Targets_Result__c.AIM_Year_of_Target__c">apttusmetadata!$BP$2:$BP$25</definedName>
    <definedName name="AIM_Performance__c.AIM_Major_Issues_Identified_LFA__c">apttusmetadata!$AF$2:$AF$4</definedName>
    <definedName name="AIM_Performance__c.AIM_Overall_Rating_LFA__c">apttusmetadata!$AG$2:$AG$6</definedName>
    <definedName name="AIM_Performance__c.AIM_Quantitative_Indicator_LFA__c">apttusmetadata!$AH$2:$AH$6</definedName>
    <definedName name="AIM_Procurement__c.AIM_Expiry_Response_LFA__c">apttusmetadata!$AD$2:$AD$4</definedName>
    <definedName name="AIM_Procurement__c.AIM_PQR_Response_LFA__c">apttusmetadata!$AB$2:$AB$4</definedName>
    <definedName name="AIM_Procurement__c.AIM_PQR_Response_PR__c">apttusmetadata!$AC$2:$AC$4</definedName>
    <definedName name="AIM_Procurement__c.AIM_Stock_Out_Response_LFA__c">apttusmetadata!$AE$2:$AE$4</definedName>
    <definedName name="AIM_Quarterly_Cash_Forecast__c.AIM_Type__c">apttusmetadata!$AJ$2:$AJ$6</definedName>
    <definedName name="AIM_WPTM_Results__c.AIM_Progress_Status_LFA__c">apttusmetadata!$CJ$2:$CJ$5</definedName>
    <definedName name="AIM_WPTM_Results__c.AIM_Progress_Status_PR__c">apttusmetadata!$CI$2:$CI$5</definedName>
    <definedName name="Albania" localSheetId="0">[3]Grants!#REF!</definedName>
    <definedName name="Albania">[3]Grants!#REF!</definedName>
    <definedName name="Angola">#REF!</definedName>
    <definedName name="Argentina" localSheetId="0">[3]Grants!#REF!</definedName>
    <definedName name="Argentina">[3]Grants!#REF!</definedName>
    <definedName name="Armenia" localSheetId="0">[3]Grants!#REF!</definedName>
    <definedName name="Armenia">[3]Grants!#REF!</definedName>
    <definedName name="AssumptionList">[4]Assumptions!$A$2:$A$50</definedName>
    <definedName name="Available_Cash">'Request and Recommendation_8B'!$B$18</definedName>
    <definedName name="Azerbaijan" localSheetId="0">[3]Grants!#REF!</definedName>
    <definedName name="Azerbaijan">[3]Grants!#REF!</definedName>
    <definedName name="B">#REF!</definedName>
    <definedName name="Bangladesh">#REF!</definedName>
    <definedName name="Belarus" localSheetId="0">[3]Grants!#REF!</definedName>
    <definedName name="Belarus">[3]Grants!#REF!</definedName>
    <definedName name="Belize" localSheetId="0">[3]Grants!#REF!</definedName>
    <definedName name="Belize">[3]Grants!#REF!</definedName>
    <definedName name="Benin">#REF!</definedName>
    <definedName name="Bhutan" localSheetId="0">[3]Grants!#REF!</definedName>
    <definedName name="Bhutan">[3]Grants!#REF!</definedName>
    <definedName name="blah2">#REF!</definedName>
    <definedName name="Bolivia" localSheetId="0">[3]Grants!#REF!</definedName>
    <definedName name="Bolivia">[3]Grants!#REF!</definedName>
    <definedName name="Bosnia_and_Herzegovina" localSheetId="0">[3]Grants!#REF!</definedName>
    <definedName name="Bosnia_and_Herzegovina">[3]Grants!#REF!</definedName>
    <definedName name="Botswana">#REF!</definedName>
    <definedName name="Bulgaria" localSheetId="0">[3]Grants!#REF!</definedName>
    <definedName name="Bulgaria">[3]Grants!#REF!</definedName>
    <definedName name="Burkina_Faso">#REF!</definedName>
    <definedName name="Burundi">#REF!</definedName>
    <definedName name="Cambodia">#REF!</definedName>
    <definedName name="Cameroon">#REF!</definedName>
    <definedName name="Cape_Verde" localSheetId="0">[3]Grants!#REF!</definedName>
    <definedName name="Cape_Verde">[3]Grants!#REF!</definedName>
    <definedName name="CaseDefenition" localSheetId="0">#REF!</definedName>
    <definedName name="CaseDefenition" localSheetId="17">#REF!</definedName>
    <definedName name="CaseDefenition" localSheetId="22">#REF!</definedName>
    <definedName name="CaseDefenition">#REF!</definedName>
    <definedName name="Casemanagement">#REF!</definedName>
    <definedName name="CaseManagement_Indicators">#REF!</definedName>
    <definedName name="Central_Africa">#REF!</definedName>
    <definedName name="Central_African_Republic">#REF!</definedName>
    <definedName name="Chad">#REF!</definedName>
    <definedName name="China" localSheetId="0">[3]Grants!#REF!</definedName>
    <definedName name="China">[3]Grants!#REF!</definedName>
    <definedName name="CM1a">#REF!</definedName>
    <definedName name="CM1aAge">#REF!</definedName>
    <definedName name="CM1aSex" localSheetId="0">#REF!</definedName>
    <definedName name="CM1aSex">#REF!</definedName>
    <definedName name="CM1aTypeoftesting">#REF!</definedName>
    <definedName name="CM1b">#REF!</definedName>
    <definedName name="CM1bAge">#REF!</definedName>
    <definedName name="CM1bSex" localSheetId="0">#REF!</definedName>
    <definedName name="CM1bSex">#REF!</definedName>
    <definedName name="CM1bTypeoftesting">#REF!</definedName>
    <definedName name="CM1c">#REF!</definedName>
    <definedName name="CM1cAge">#REF!</definedName>
    <definedName name="CM1cSex" localSheetId="0">#REF!</definedName>
    <definedName name="CM1cSex">#REF!</definedName>
    <definedName name="CM1cTypeoftesting">#REF!</definedName>
    <definedName name="CM2a">#REF!</definedName>
    <definedName name="CM2aAge">#REF!</definedName>
    <definedName name="CM2aSex" localSheetId="0">#REF!</definedName>
    <definedName name="CM2aSex">#REF!</definedName>
    <definedName name="CM2aTypeoftreatment" localSheetId="0">#REF!</definedName>
    <definedName name="CM2aTypeoftreatment">#REF!</definedName>
    <definedName name="CM2b">#REF!</definedName>
    <definedName name="CM2bAge">#REF!</definedName>
    <definedName name="CM2bSex" localSheetId="0">#REF!</definedName>
    <definedName name="CM2bSex">#REF!</definedName>
    <definedName name="CM2bTypeoftreatment" localSheetId="0">#REF!</definedName>
    <definedName name="CM2bTypeoftreatment">#REF!</definedName>
    <definedName name="CM2c">#REF!</definedName>
    <definedName name="CM2cAge">#REF!</definedName>
    <definedName name="CM2cSex" localSheetId="0">#REF!</definedName>
    <definedName name="CM2cSex">#REF!</definedName>
    <definedName name="CM2cTypeoftreatment" localSheetId="0">#REF!</definedName>
    <definedName name="CM2cTypeoftreatment">#REF!</definedName>
    <definedName name="CM3a">#REF!</definedName>
    <definedName name="CM3aAge">#REF!</definedName>
    <definedName name="CM3aSex" localSheetId="0">#REF!</definedName>
    <definedName name="CM3aSex">#REF!</definedName>
    <definedName name="CM3aTypeoftreatment" localSheetId="0">#REF!</definedName>
    <definedName name="CM3aTypeoftreatment">#REF!</definedName>
    <definedName name="CM3b">#REF!</definedName>
    <definedName name="CM3bAge">#REF!</definedName>
    <definedName name="CM3bSex" localSheetId="0">#REF!</definedName>
    <definedName name="CM3bSex">#REF!</definedName>
    <definedName name="CM3bTypeoftreatment" localSheetId="0">#REF!</definedName>
    <definedName name="CM3bTypeoftreatment">#REF!</definedName>
    <definedName name="CM3c">#REF!</definedName>
    <definedName name="CM3cAge">#REF!</definedName>
    <definedName name="CM3cSex" localSheetId="0">#REF!</definedName>
    <definedName name="CM3cSex">#REF!</definedName>
    <definedName name="CM3cTypeoftreatment" localSheetId="0">#REF!</definedName>
    <definedName name="CM3cTypeoftreatment">#REF!</definedName>
    <definedName name="Colombia" localSheetId="0">[3]Grants!#REF!</definedName>
    <definedName name="Colombia">[3]Grants!#REF!</definedName>
    <definedName name="Communitysystemsstrengthening">#REF!</definedName>
    <definedName name="Comoros" localSheetId="0">[3]Grants!#REF!</definedName>
    <definedName name="Comoros">[3]Grants!#REF!</definedName>
    <definedName name="Component">#REF!</definedName>
    <definedName name="ComponentModule">#REF!</definedName>
    <definedName name="ComponentSelected">[4]Setup!$B$4</definedName>
    <definedName name="Congo">#REF!</definedName>
    <definedName name="Congo__The_Democratic_Republic_of_the">#REF!</definedName>
    <definedName name="Cost_Input">OFFSET('Reference Records'!$E$97,1,0,MATCH(" ",LEFT('Reference Records'!$E$97:$E$174,255),-1)-1,1)</definedName>
    <definedName name="CostInputs">OFFSET('[4]Cost Inputs'!$N$3,0,VLOOKUP(ComponentSelected,[4]CatCmp!$C:$H,6,FALSE),'[4]Cost Inputs'!$S$2,1)</definedName>
    <definedName name="Cote_d_Ivoire">#REF!</definedName>
    <definedName name="Country_Short_Name">#REF!</definedName>
    <definedName name="CovDissagg">#REF!</definedName>
    <definedName name="CoverageChoice" localSheetId="24">OFFSET(#REF!, 0, 0, COUNTA(#REF!),1)</definedName>
    <definedName name="CoverageChoice" localSheetId="6">OFFSET(WPTM_1C!$B$7, 0, 0, COUNTA(WPTM_1C!$B$7:$B487),1)</definedName>
    <definedName name="CoverageChoice">OFFSET('Coverage Indicators_1B'!$B$10, 0, 0, COUNTA('Coverage Indicators_1B'!$B$10:$B487),1)</definedName>
    <definedName name="Cuba" localSheetId="0">[3]Grants!#REF!</definedName>
    <definedName name="Cuba">[3]Grants!#REF!</definedName>
    <definedName name="Currencies">[4]Setup!$B$10:$B$12</definedName>
    <definedName name="Currency">#REF!</definedName>
    <definedName name="Disagg_categories" localSheetId="0">#REF!</definedName>
    <definedName name="Disagg_categories" localSheetId="17">#REF!</definedName>
    <definedName name="Disagg_categories" localSheetId="22">#REF!</definedName>
    <definedName name="Disagg_categories">#REF!</definedName>
    <definedName name="Djibouti" localSheetId="0">[3]Grants!#REF!</definedName>
    <definedName name="Djibouti">[3]Grants!#REF!</definedName>
    <definedName name="Dominican_Republic" localSheetId="0">[3]Grants!#REF!</definedName>
    <definedName name="Dominican_Republic">[3]Grants!#REF!</definedName>
    <definedName name="DOTS1a">#REF!</definedName>
    <definedName name="DOTS1aAge">#REF!</definedName>
    <definedName name="DOTS1aHIVtestresult">#REF!</definedName>
    <definedName name="DOTS1aSex">#REF!</definedName>
    <definedName name="DOTS1b">#REF!</definedName>
    <definedName name="DOTS1bAge">#REF!</definedName>
    <definedName name="DOTS1bSex">#REF!</definedName>
    <definedName name="DOTS2a">#REF!</definedName>
    <definedName name="DOTS2aAge">#REF!</definedName>
    <definedName name="DOTS2aHIVtestresult">#REF!</definedName>
    <definedName name="DOTS2aSex">#REF!</definedName>
    <definedName name="DOTS6">#REF!</definedName>
    <definedName name="DOTS6KAPshighriskgroups">#REF!</definedName>
    <definedName name="E">#REF!</definedName>
    <definedName name="Eastern_Europe_and_Central_Asia">#REF!</definedName>
    <definedName name="Ecuador" localSheetId="0">[3]Grants!#REF!</definedName>
    <definedName name="Ecuador">[3]Grants!#REF!</definedName>
    <definedName name="EFR_List_IE">'[5]Definitions-lists-EFR'!$A$58:$A$65</definedName>
    <definedName name="EFRHealthSystemsStrengthening" localSheetId="0">#REF!</definedName>
    <definedName name="EFRHealthSystemsStrengthening">#REF!</definedName>
    <definedName name="EFRHIVAIDS" localSheetId="0">#REF!</definedName>
    <definedName name="EFRHIVAIDS">#REF!</definedName>
    <definedName name="EFRListMal">'[5]Definitions-lists-EFR'!$A$21:$A$25</definedName>
    <definedName name="EFRMalaria" localSheetId="0">#REF!</definedName>
    <definedName name="EFRMalaria">#REF!</definedName>
    <definedName name="EFRMalariaSDA">'[5]Memo Malaria'!$A$2:$A$24</definedName>
    <definedName name="EFRTuberculosis" localSheetId="0">#REF!</definedName>
    <definedName name="EFRTuberculosis">#REF!</definedName>
    <definedName name="Egypt" localSheetId="0">[3]Grants!#REF!</definedName>
    <definedName name="Egypt">[3]Grants!#REF!</definedName>
    <definedName name="El_Salvador" localSheetId="0">[3]Grants!#REF!</definedName>
    <definedName name="El_Salvador">[3]Grants!#REF!</definedName>
    <definedName name="Epidemic_preparedness_and_response">#REF!</definedName>
    <definedName name="Eritrea">#REF!</definedName>
    <definedName name="ES">#REF!</definedName>
    <definedName name="Ethiopia">#REF!</definedName>
    <definedName name="EuroLocal">'[2]Range Page'!$A$48</definedName>
    <definedName name="EuroUSD">'[2]Range Page'!$A$47</definedName>
    <definedName name="ExpenditureGF">[6]Input!$F$19</definedName>
    <definedName name="Facility_based_treatment">#REF!</definedName>
    <definedName name="Fiji" localSheetId="0">[3]Grants!#REF!</definedName>
    <definedName name="Fiji">[3]Grants!#REF!</definedName>
    <definedName name="Finance_Approver">[3]Lists!$G$3:$G$46</definedName>
    <definedName name="Gambia" localSheetId="0">[3]Grants!#REF!</definedName>
    <definedName name="Gambia">[3]Grants!#REF!</definedName>
    <definedName name="Georgia">#REF!</definedName>
    <definedName name="Ghana">#REF!</definedName>
    <definedName name="GP1D">#REF!</definedName>
    <definedName name="GP1DAge">#REF!</definedName>
    <definedName name="GP1DHIVstatus">#REF!</definedName>
    <definedName name="GP1DSex">#REF!</definedName>
    <definedName name="GrantData">[6]Data!$B$2:$F$1185</definedName>
    <definedName name="GrantList" localSheetId="0">#REF!</definedName>
    <definedName name="GrantList" localSheetId="3">#REF!</definedName>
    <definedName name="GrantList" localSheetId="17">#REF!</definedName>
    <definedName name="GrantList" localSheetId="22">#REF!</definedName>
    <definedName name="GrantList" localSheetId="15">#REF!</definedName>
    <definedName name="GrantList" localSheetId="6">#REF!</definedName>
    <definedName name="GrantList">#REF!</definedName>
    <definedName name="Grants" localSheetId="0">#REF!</definedName>
    <definedName name="Grants" localSheetId="3">#REF!</definedName>
    <definedName name="Grants" localSheetId="17">#REF!</definedName>
    <definedName name="Grants" localSheetId="22">#REF!</definedName>
    <definedName name="Grants" localSheetId="15">#REF!</definedName>
    <definedName name="Grants" localSheetId="6">#REF!</definedName>
    <definedName name="Grants">#REF!</definedName>
    <definedName name="Guatemala">#REF!</definedName>
    <definedName name="Guinea">#REF!</definedName>
    <definedName name="Guinea_Bissau">#REF!</definedName>
    <definedName name="Guyana" localSheetId="0">[3]Grants!#REF!</definedName>
    <definedName name="Guyana">[3]Grants!#REF!</definedName>
    <definedName name="Haiti">#REF!</definedName>
    <definedName name="HealthSystemsStrengthening_Module">#REF!</definedName>
    <definedName name="High_Impact_Africa_1">#REF!</definedName>
    <definedName name="High_Impact_Africa_2">#REF!</definedName>
    <definedName name="High_Impact_Asia">#REF!</definedName>
    <definedName name="HIV">#REF!</definedName>
    <definedName name="HIV_TBModule5">#REF!</definedName>
    <definedName name="HIV_TBModule6" localSheetId="0">#REF!</definedName>
    <definedName name="HIV_TBModule6" localSheetId="3">#REF!</definedName>
    <definedName name="HIV_TBModule6" localSheetId="17">'[7]Intervention By Modules'!#REF!</definedName>
    <definedName name="HIV_TBModule6" localSheetId="22">#REF!</definedName>
    <definedName name="HIV_TBModule6" localSheetId="15">'[7]Intervention By Modules'!#REF!</definedName>
    <definedName name="HIV_TBModule6" localSheetId="6">#REF!</definedName>
    <definedName name="HIV_TBModule6">#REF!</definedName>
    <definedName name="HIVAIDS_Module">#REF!</definedName>
    <definedName name="HIVI1">#REF!</definedName>
    <definedName name="HIVI1Sex">#REF!</definedName>
    <definedName name="HIVI2">#REF!</definedName>
    <definedName name="HIVI2Age">#REF!</definedName>
    <definedName name="HIVI2Sex">#REF!</definedName>
    <definedName name="HIVI4">#REF!</definedName>
    <definedName name="HIVI4Age">#REF!</definedName>
    <definedName name="HIVI4Sex">#REF!</definedName>
    <definedName name="HIVI9a">#REF!</definedName>
    <definedName name="HIVI9aAge">#REF!</definedName>
    <definedName name="HIVI9b">#REF!</definedName>
    <definedName name="HIVI9bAge">#REF!</definedName>
    <definedName name="HIVII">#REF!</definedName>
    <definedName name="HIVO1">#REF!</definedName>
    <definedName name="HIVO1Age">#REF!</definedName>
    <definedName name="HIVO1Durationoftreatment">#REF!</definedName>
    <definedName name="HIVO1Sex">#REF!</definedName>
    <definedName name="HIVO2">#REF!</definedName>
    <definedName name="HIVO2Age">#REF!</definedName>
    <definedName name="HIVO2Sex">#REF!</definedName>
    <definedName name="HIVO3">#REF!</definedName>
    <definedName name="HIVO3Age">#REF!</definedName>
    <definedName name="HIVO3Sex">#REF!</definedName>
    <definedName name="HIVO5">#REF!</definedName>
    <definedName name="HIVO5Sex">#REF!</definedName>
    <definedName name="HIVO6">#REF!</definedName>
    <definedName name="HIVO6Sex">#REF!</definedName>
    <definedName name="HIVO8">#REF!</definedName>
    <definedName name="HIVO8Sex">#REF!</definedName>
    <definedName name="HIVOI">#REF!</definedName>
    <definedName name="HIVSDA">#REF!</definedName>
    <definedName name="HIVSource">#REF!</definedName>
    <definedName name="HIVstatus" localSheetId="0">#REF!</definedName>
    <definedName name="HIVstatus" localSheetId="17">#REF!</definedName>
    <definedName name="HIVstatus" localSheetId="22">#REF!</definedName>
    <definedName name="HIVstatus">#REF!</definedName>
    <definedName name="HIVStatusPregnent" localSheetId="0">#REF!</definedName>
    <definedName name="HIVStatusPregnent" localSheetId="17">#REF!</definedName>
    <definedName name="HIVStatusPregnent" localSheetId="22">#REF!</definedName>
    <definedName name="HIVStatusPregnent">#REF!</definedName>
    <definedName name="HIVTB_Module">#REF!</definedName>
    <definedName name="HIVTestResult" localSheetId="0">#REF!</definedName>
    <definedName name="HIVTestResult" localSheetId="17">#REF!</definedName>
    <definedName name="HIVTestResult" localSheetId="22">#REF!</definedName>
    <definedName name="HIVTestResult">#REF!</definedName>
    <definedName name="Honduras" localSheetId="0">[3]Grants!#REF!</definedName>
    <definedName name="Honduras">[3]Grants!#REF!</definedName>
    <definedName name="HSS">#REF!</definedName>
    <definedName name="HSS_Servicedelivery">#REF!</definedName>
    <definedName name="HSSFinancialmanagement">#REF!</definedName>
    <definedName name="HSSHealthandcommunityworkforce">#REF!</definedName>
    <definedName name="HSSHealthcarefinancing">#REF!</definedName>
    <definedName name="HSSHealthinformationsystemsandME">#REF!</definedName>
    <definedName name="HSSPolicyandgovernance">#REF!</definedName>
    <definedName name="HSSProcurementsupplychainmanagementPSCM">#REF!</definedName>
    <definedName name="HSSServicedelivery">#REF!</definedName>
    <definedName name="HW1a">#REF!</definedName>
    <definedName name="HW1aSpecialization">#REF!</definedName>
    <definedName name="IDA_202_G02_H_00">#REF!</definedName>
    <definedName name="IDN_M_PERDHAK">#REF!</definedName>
    <definedName name="IE" localSheetId="0">#REF!</definedName>
    <definedName name="IE">#REF!</definedName>
    <definedName name="IMPLEMENTATION_PHASE" localSheetId="0">[8]Definitions!#REF!</definedName>
    <definedName name="IMPLEMENTATION_PHASE" localSheetId="17">[8]Definitions!#REF!</definedName>
    <definedName name="IMPLEMENTATION_PHASE">[8]Definitions!#REF!</definedName>
    <definedName name="ImpOutIndicatorChoice" localSheetId="24">OFFSET(#REF!,0,0,COUNTA(#REF!),1)</definedName>
    <definedName name="ImpOutIndicatorChoice">OFFSET('Impact Outcome Indicators_1A'!$D$9,0,0,COUNTA('Impact Outcome Indicators_1A'!$D$9:$D$61),1)</definedName>
    <definedName name="India">#REF!</definedName>
    <definedName name="IndicatorTypesList" localSheetId="0">#REF!</definedName>
    <definedName name="IndicatorTypesList" localSheetId="3">#REF!</definedName>
    <definedName name="IndicatorTypesList" localSheetId="17">#REF!</definedName>
    <definedName name="IndicatorTypesList" localSheetId="22">#REF!</definedName>
    <definedName name="IndicatorTypesList" localSheetId="15">#REF!</definedName>
    <definedName name="IndicatorTypesList" localSheetId="6">#REF!</definedName>
    <definedName name="IndicatorTypesList">#REF!</definedName>
    <definedName name="Indonesia">#REF!</definedName>
    <definedName name="Integrated_community_case_management__ICCM" localSheetId="0">#REF!</definedName>
    <definedName name="Integrated_community_case_management__ICCM" localSheetId="3">#REF!</definedName>
    <definedName name="Integrated_community_case_management__ICCM" localSheetId="17">'[7]Intervention By Modules'!#REF!</definedName>
    <definedName name="Integrated_community_case_management__ICCM" localSheetId="22">#REF!</definedName>
    <definedName name="Integrated_community_case_management__ICCM" localSheetId="15">'[7]Intervention By Modules'!#REF!</definedName>
    <definedName name="Integrated_community_case_management__ICCM" localSheetId="6">#REF!</definedName>
    <definedName name="Integrated_community_case_management__ICCM">#REF!</definedName>
    <definedName name="Intervention">#REF!</definedName>
    <definedName name="IODissagg">#REF!</definedName>
    <definedName name="Iran__Islamic_Republic_of" localSheetId="0">[3]Grants!#REF!</definedName>
    <definedName name="Iran__Islamic_Republic_of">[3]Grants!#REF!</definedName>
    <definedName name="Iraq" localSheetId="0">[3]Grants!#REF!</definedName>
    <definedName name="Iraq">[3]Grants!#REF!</definedName>
    <definedName name="ISSUES">#REF!</definedName>
    <definedName name="Jamaica" localSheetId="0">[3]Grants!#REF!</definedName>
    <definedName name="Jamaica">[3]Grants!#REF!</definedName>
    <definedName name="Jordan" localSheetId="0">[3]Grants!#REF!</definedName>
    <definedName name="Jordan">[3]Grants!#REF!</definedName>
    <definedName name="KAPs" localSheetId="0">#REF!</definedName>
    <definedName name="KAPs" localSheetId="17">#REF!</definedName>
    <definedName name="KAPs" localSheetId="22">#REF!</definedName>
    <definedName name="KAPs">#REF!</definedName>
    <definedName name="Kazakhstan" localSheetId="0">[3]Grants!#REF!</definedName>
    <definedName name="Kazakhstan">[3]Grants!#REF!</definedName>
    <definedName name="Kenya">#REF!</definedName>
    <definedName name="Korea__Democratic_People_s_Republic_of">#REF!</definedName>
    <definedName name="Kosovo" localSheetId="0">[3]Grants!#REF!</definedName>
    <definedName name="Kosovo">[3]Grants!#REF!</definedName>
    <definedName name="Kyrgyzstan" localSheetId="0">[3]Grants!#REF!</definedName>
    <definedName name="Kyrgyzstan">[3]Grants!#REF!</definedName>
    <definedName name="LangOffset">'[9]Chg log'!$D$1</definedName>
    <definedName name="Lao_People_s_Democratic_Republic" localSheetId="0">[3]Grants!#REF!</definedName>
    <definedName name="Lao_People_s_Democratic_Republic">[3]Grants!#REF!</definedName>
    <definedName name="Latin_America_and_Caribbean">#REF!</definedName>
    <definedName name="Lesotho" localSheetId="0">[3]Grants!#REF!</definedName>
    <definedName name="Lesotho">[3]Grants!#REF!</definedName>
    <definedName name="LFA_SDA" localSheetId="0">'[10]LFA_Programmatic Progress_1B'!#REF!</definedName>
    <definedName name="LFA_SDA">'[10]LFA_Programmatic Progress_1B'!#REF!</definedName>
    <definedName name="LFASig" localSheetId="0">#REF!</definedName>
    <definedName name="LFASig">#REF!</definedName>
    <definedName name="Liberia">#REF!</definedName>
    <definedName name="list" localSheetId="0">#REF!</definedName>
    <definedName name="list">#REF!</definedName>
    <definedName name="List_IE" localSheetId="0">#REF!</definedName>
    <definedName name="List_IE">#REF!</definedName>
    <definedName name="list1" localSheetId="0">#REF!</definedName>
    <definedName name="list1" localSheetId="3">#REF!</definedName>
    <definedName name="list1" localSheetId="17">#REF!</definedName>
    <definedName name="list1" localSheetId="22">#REF!</definedName>
    <definedName name="list1" localSheetId="15">#REF!</definedName>
    <definedName name="list1" localSheetId="6">#REF!</definedName>
    <definedName name="list1">#REF!</definedName>
    <definedName name="list2" localSheetId="0">#REF!</definedName>
    <definedName name="list2" localSheetId="3">#REF!</definedName>
    <definedName name="list2" localSheetId="17">#REF!</definedName>
    <definedName name="list2" localSheetId="22">#REF!</definedName>
    <definedName name="list2" localSheetId="15">#REF!</definedName>
    <definedName name="list2" localSheetId="6">#REF!</definedName>
    <definedName name="list2">#REF!</definedName>
    <definedName name="listH" localSheetId="4">#REF!</definedName>
    <definedName name="listH" localSheetId="0">#REF!</definedName>
    <definedName name="listH" localSheetId="3">#REF!</definedName>
    <definedName name="listH" localSheetId="17">#REF!</definedName>
    <definedName name="listH" localSheetId="22">#REF!</definedName>
    <definedName name="listH" localSheetId="15">#REF!</definedName>
    <definedName name="listH" localSheetId="6">#REF!</definedName>
    <definedName name="listH">#REF!</definedName>
    <definedName name="ListHIV" localSheetId="0">#REF!</definedName>
    <definedName name="ListHIV">#REF!</definedName>
    <definedName name="listie" localSheetId="0">#REF!</definedName>
    <definedName name="listie">#REF!</definedName>
    <definedName name="listmac" localSheetId="0">#REF!</definedName>
    <definedName name="listmac">#REF!</definedName>
    <definedName name="ListMal" localSheetId="0">#REF!</definedName>
    <definedName name="ListMal">#REF!</definedName>
    <definedName name="listnew" localSheetId="0">#REF!</definedName>
    <definedName name="listnew">#REF!</definedName>
    <definedName name="listS" localSheetId="0">#REF!</definedName>
    <definedName name="listS">#REF!</definedName>
    <definedName name="listsda" localSheetId="0">#REF!</definedName>
    <definedName name="listsda">#REF!</definedName>
    <definedName name="listsdah" localSheetId="0">#REF!</definedName>
    <definedName name="listsdah">#REF!</definedName>
    <definedName name="listsdahiv" localSheetId="0">#REF!</definedName>
    <definedName name="listsdahiv">#REF!</definedName>
    <definedName name="listsdahiv1" localSheetId="0">#REF!</definedName>
    <definedName name="listsdahiv1">#REF!</definedName>
    <definedName name="listsdam">[11]Definitions!$C$28:$C$50</definedName>
    <definedName name="listsdat" localSheetId="0">#REF!</definedName>
    <definedName name="listsdat">#REF!</definedName>
    <definedName name="listsdat1">[12]Definitions!$C$39:$C$54</definedName>
    <definedName name="listserv" localSheetId="0">#REF!</definedName>
    <definedName name="listserv">#REF!</definedName>
    <definedName name="ListTB" localSheetId="0">#REF!</definedName>
    <definedName name="ListTB">#REF!</definedName>
    <definedName name="Macedonia__The_Former_Yugoslav_Republic_of" localSheetId="0">[3]Grants!#REF!</definedName>
    <definedName name="Macedonia__The_Former_Yugoslav_Republic_of">[3]Grants!#REF!</definedName>
    <definedName name="Madagascar">#REF!</definedName>
    <definedName name="Malaria">#REF!</definedName>
    <definedName name="Malaria_Module">#REF!</definedName>
    <definedName name="MalariaI1">#REF!</definedName>
    <definedName name="MalariaI1Age">#REF!</definedName>
    <definedName name="MalariaI1Sex">#REF!</definedName>
    <definedName name="MalariaI2">#REF!</definedName>
    <definedName name="MalariaI2Age">#REF!</definedName>
    <definedName name="MalariaI2Sex">#REF!</definedName>
    <definedName name="MalariaI2Species">#REF!</definedName>
    <definedName name="MalariaI3">#REF!</definedName>
    <definedName name="MalariaI3Age">#REF!</definedName>
    <definedName name="MalariaI3Sex">#REF!</definedName>
    <definedName name="MalariaI4">#REF!</definedName>
    <definedName name="MalariaI4Species">#REF!</definedName>
    <definedName name="MalariaI4Typeoftesting">#REF!</definedName>
    <definedName name="MalariaI5">#REF!</definedName>
    <definedName name="MalariaI5Sex">#REF!</definedName>
    <definedName name="MalariaI5Species">#REF!</definedName>
    <definedName name="MalariaI6">#REF!</definedName>
    <definedName name="MalariaI6Sex">#REF!</definedName>
    <definedName name="MalariaII">#REF!</definedName>
    <definedName name="MalariaImpact">#REF!</definedName>
    <definedName name="MalariaModule1">#REF!</definedName>
    <definedName name="MalariaModule2">#REF!</definedName>
    <definedName name="MalariaModule3">#REF!</definedName>
    <definedName name="MalariaO1a">#REF!</definedName>
    <definedName name="MalariaO1aSex">#REF!</definedName>
    <definedName name="MalariaO3">#REF!</definedName>
    <definedName name="MalariaO3Sex">#REF!</definedName>
    <definedName name="MalariaOI">#REF!</definedName>
    <definedName name="MalariaSDA">#REF!</definedName>
    <definedName name="MalariaSource">#REF!</definedName>
    <definedName name="Malawi">#REF!</definedName>
    <definedName name="Malaysia" localSheetId="0">[3]Grants!#REF!</definedName>
    <definedName name="Malaysia">[3]Grants!#REF!</definedName>
    <definedName name="Mali">#REF!</definedName>
    <definedName name="Mauritania">#REF!</definedName>
    <definedName name="Mauritius" localSheetId="0">[3]Grants!#REF!</definedName>
    <definedName name="Mauritius">[3]Grants!#REF!</definedName>
    <definedName name="MDRTB">#REF!</definedName>
    <definedName name="MDRTB2">#REF!</definedName>
    <definedName name="MDRTB2Age">#REF!</definedName>
    <definedName name="MDRTB2Sex">#REF!</definedName>
    <definedName name="MDRTB3">#REF!</definedName>
    <definedName name="MDRTB3Age">#REF!</definedName>
    <definedName name="MDRTB3Casedefinition" localSheetId="0">#REF!</definedName>
    <definedName name="MDRTB3Casedefinition">#REF!</definedName>
    <definedName name="MDRTB3Sex">#REF!</definedName>
    <definedName name="Middle_East_and_North_Africa">#REF!</definedName>
    <definedName name="Module_Indicators">#REF!</definedName>
    <definedName name="Module_List">OFFSET('Reference Records'!$J$12,1,0,MATCH(" ",LEFT('Reference Records'!$J$12:$J$25,255),-1)-1,1)</definedName>
    <definedName name="Module1">#REF!</definedName>
    <definedName name="Module10">#REF!</definedName>
    <definedName name="Module11">#REF!</definedName>
    <definedName name="Module12">#REF!</definedName>
    <definedName name="Module13">#REF!</definedName>
    <definedName name="Module14">#REF!</definedName>
    <definedName name="Module15">#REF!</definedName>
    <definedName name="Module2">#REF!</definedName>
    <definedName name="Module24">#REF!</definedName>
    <definedName name="Module27">#REF!</definedName>
    <definedName name="Module28">#REF!</definedName>
    <definedName name="Module29">#REF!</definedName>
    <definedName name="Module3">#REF!</definedName>
    <definedName name="Module30">#REF!</definedName>
    <definedName name="Module31">#REF!</definedName>
    <definedName name="Module32">#REF!</definedName>
    <definedName name="Module33">#REF!</definedName>
    <definedName name="Module34">#REF!</definedName>
    <definedName name="Module35">#REF!</definedName>
    <definedName name="Module4">#REF!</definedName>
    <definedName name="Module5">#REF!</definedName>
    <definedName name="Module6" localSheetId="0">#REF!</definedName>
    <definedName name="Module6" localSheetId="3">#REF!</definedName>
    <definedName name="Module6" localSheetId="17">'[7]Coverage Indicators'!#REF!</definedName>
    <definedName name="Module6" localSheetId="22">#REF!</definedName>
    <definedName name="Module6" localSheetId="15">'[7]Coverage Indicators'!#REF!</definedName>
    <definedName name="Module6" localSheetId="6">#REF!</definedName>
    <definedName name="Module6">#REF!</definedName>
    <definedName name="Module72">#REF!</definedName>
    <definedName name="Module73">#REF!</definedName>
    <definedName name="Module8">#REF!</definedName>
    <definedName name="Module9">#REF!</definedName>
    <definedName name="ModuleChoice" localSheetId="0">OFFSET(#REF!,0,0,(COUNTA(#REF!)-1),1)</definedName>
    <definedName name="ModuleChoice" localSheetId="3">OFFSET(#REF!,0,0,(COUNTA(#REF!)-1),1)</definedName>
    <definedName name="ModuleChoice" localSheetId="24">OFFSET(#REF!,0,0,(COUNTA(#REF!)-1),1)</definedName>
    <definedName name="ModuleChoice" localSheetId="17">OFFSET(#REF!,0,0,(COUNTA(#REF!)-1),1)</definedName>
    <definedName name="ModuleChoice" localSheetId="22">OFFSET(#REF!,0,0,(COUNTA(#REF!)-1),1)</definedName>
    <definedName name="ModuleChoice" localSheetId="15">OFFSET(#REF!,0,0,(COUNTA(#REF!)-1),1)</definedName>
    <definedName name="ModuleChoice" localSheetId="6">OFFSET(#REF!,0,0,(COUNTA(#REF!)-1),1)</definedName>
    <definedName name="ModuleChoice">OFFSET(#REF!,0,0,(COUNTA(#REF!)-1),1)</definedName>
    <definedName name="ModuleColumn">InterventionList[Module]</definedName>
    <definedName name="Modules">#REF!</definedName>
    <definedName name="ModulesInCmp">OFFSET([4]ModInCmp!$C$2,0,0,NbrOfModulesInCmp,1)</definedName>
    <definedName name="ModuleStart">'Reference Records'!$B$30</definedName>
    <definedName name="Moldova__Republic_of" localSheetId="0">[3]Grants!#REF!</definedName>
    <definedName name="Moldova__Republic_of">[3]Grants!#REF!</definedName>
    <definedName name="Mongolia" localSheetId="0">[3]Grants!#REF!</definedName>
    <definedName name="Mongolia">[3]Grants!#REF!</definedName>
    <definedName name="Morocco" localSheetId="0">[3]Grants!#REF!</definedName>
    <definedName name="Morocco">[3]Grants!#REF!</definedName>
    <definedName name="Mozambique">#REF!</definedName>
    <definedName name="Multicountry_Africa__SADC" localSheetId="0">[3]Grants!#REF!</definedName>
    <definedName name="Multicountry_Africa__SADC">[3]Grants!#REF!</definedName>
    <definedName name="Multicountry_Africa__West_Africa_Corridor_Program" localSheetId="0">[3]Grants!#REF!</definedName>
    <definedName name="Multicountry_Africa__West_Africa_Corridor_Program">[3]Grants!#REF!</definedName>
    <definedName name="Multicountry_Americas__CARICOM___PANCAP" localSheetId="0">[3]Grants!#REF!</definedName>
    <definedName name="Multicountry_Americas__CARICOM___PANCAP">[3]Grants!#REF!</definedName>
    <definedName name="Multicountry_Americas__COPRECOS" localSheetId="0">[3]Grants!#REF!</definedName>
    <definedName name="Multicountry_Americas__COPRECOS">[3]Grants!#REF!</definedName>
    <definedName name="Multicountry_Americas__Meso" localSheetId="0">[3]Grants!#REF!</definedName>
    <definedName name="Multicountry_Americas__Meso">[3]Grants!#REF!</definedName>
    <definedName name="Multicountry_Americas__REDCA" localSheetId="0">[3]Grants!#REF!</definedName>
    <definedName name="Multicountry_Americas__REDCA">[3]Grants!#REF!</definedName>
    <definedName name="Multicountry_Americas__REDTRASEX" localSheetId="0">[3]Grants!#REF!</definedName>
    <definedName name="Multicountry_Americas__REDTRASEX">[3]Grants!#REF!</definedName>
    <definedName name="Multicountry_East_Asia_And_Pacific__APN" localSheetId="0">[3]Grants!#REF!</definedName>
    <definedName name="Multicountry_East_Asia_And_Pacific__APN">[3]Grants!#REF!</definedName>
    <definedName name="Multicountry_East_Asia_And_Pacific__ISEAN_HIVOS" localSheetId="0">[3]Grants!#REF!</definedName>
    <definedName name="Multicountry_East_Asia_And_Pacific__ISEAN_HIVOS">[3]Grants!#REF!</definedName>
    <definedName name="Multicountry_East_Asia_and_Pacific__RAI">#REF!</definedName>
    <definedName name="Multicountry_Eastern_Europe___Central_Asia__EHRN" localSheetId="0">[3]Grants!#REF!</definedName>
    <definedName name="Multicountry_Eastern_Europe___Central_Asia__EHRN">[3]Grants!#REF!</definedName>
    <definedName name="Multicountry_Middle_East__IOM" localSheetId="0">[3]Grants!#REF!</definedName>
    <definedName name="Multicountry_Middle_East__IOM">[3]Grants!#REF!</definedName>
    <definedName name="Multicountry_Middle_East_and_North_Africa__MENAHRA" localSheetId="0">[3]Grants!#REF!</definedName>
    <definedName name="Multicountry_Middle_East_and_North_Africa__MENAHRA">[3]Grants!#REF!</definedName>
    <definedName name="Multicountry_South_Asia" localSheetId="0">[3]Grants!#REF!</definedName>
    <definedName name="Multicountry_South_Asia">[3]Grants!#REF!</definedName>
    <definedName name="Multicountry_Western_Pacific" localSheetId="0">[3]Grants!#REF!</definedName>
    <definedName name="Multicountry_Western_Pacific">[3]Grants!#REF!</definedName>
    <definedName name="Myanmar">#REF!</definedName>
    <definedName name="Namibia">#REF!</definedName>
    <definedName name="NbrOfModulesInCmp">COUNT([4]ModInCmp!$A:$A)</definedName>
    <definedName name="Nepal">#REF!</definedName>
    <definedName name="NewStatus">'Grant Management_4'!$AD$66:$AD$69</definedName>
    <definedName name="Nicaragua" localSheetId="0">[3]Grants!#REF!</definedName>
    <definedName name="Nicaragua">[3]Grants!#REF!</definedName>
    <definedName name="Niger">#REF!</definedName>
    <definedName name="Nigeria">#REF!</definedName>
    <definedName name="Official_Country_Name">#REF!</definedName>
    <definedName name="OI_Component">#REF!</definedName>
    <definedName name="OI_HIV">#REF!</definedName>
    <definedName name="OI_HSS">#REF!</definedName>
    <definedName name="OI_Malaria">#REF!</definedName>
    <definedName name="OI_TB">#REF!</definedName>
    <definedName name="Pakistan">#REF!</definedName>
    <definedName name="Palestine" localSheetId="0">[3]Grants!#REF!</definedName>
    <definedName name="Palestine">[3]Grants!#REF!</definedName>
    <definedName name="Panama" localSheetId="0">[3]Grants!#REF!</definedName>
    <definedName name="Panama">[3]Grants!#REF!</definedName>
    <definedName name="Papua_New_Guinea">#REF!</definedName>
    <definedName name="Paraguay" localSheetId="0">[3]Grants!#REF!</definedName>
    <definedName name="Paraguay">[3]Grants!#REF!</definedName>
    <definedName name="Peru" localSheetId="0">[3]Grants!#REF!</definedName>
    <definedName name="Peru">[3]Grants!#REF!</definedName>
    <definedName name="Philippines">#REF!</definedName>
    <definedName name="PICKLISTKEYVALUEPAIR">apttusmetadata!$Y$2:$Z$16</definedName>
    <definedName name="Please_Select">#REF!</definedName>
    <definedName name="PMTCT">#REF!</definedName>
    <definedName name="PMTCT1">#REF!</definedName>
    <definedName name="PMTCT1HIVstatuspregnantwomen">#REF!</definedName>
    <definedName name="PMTCT2" localSheetId="0">#REF!</definedName>
    <definedName name="PMTCT2">#REF!</definedName>
    <definedName name="PMTCT2Typeofregimen" localSheetId="0">#REF!</definedName>
    <definedName name="PMTCT2Typeofregimen">#REF!</definedName>
    <definedName name="PNG_M_PSI">#REF!</definedName>
    <definedName name="PR_SDA" localSheetId="4">'Coverage Indicators_1B'!#REF!</definedName>
    <definedName name="PR_SDA" localSheetId="0">#REF!</definedName>
    <definedName name="PR_SDA" localSheetId="3">#REF!</definedName>
    <definedName name="PR_SDA" localSheetId="17">#REF!</definedName>
    <definedName name="PR_SDA" localSheetId="22">#REF!</definedName>
    <definedName name="PR_SDA" localSheetId="15">#REF!</definedName>
    <definedName name="PR_SDA" localSheetId="6">WPTM_1C!$B$9:$B$46</definedName>
    <definedName name="PR_SDA">#REF!</definedName>
    <definedName name="PRAcronym">'[4]Budget Lines'!$J$2:INDEX('[4]Budget Lines'!$J$2:$J$22,COUNTIF('[4]Budget Lines'!$J$2:$J$22,"?*"))</definedName>
    <definedName name="Preventionprogramsforadolescentsandyouthinandoutofschool">#REF!</definedName>
    <definedName name="Preventionprogramsforgeneralpopulation">#REF!</definedName>
    <definedName name="PreventionprogramsforMSMandTGs">#REF!</definedName>
    <definedName name="Preventionprogramsforothervulnerablepopulationspleasespecify">#REF!</definedName>
    <definedName name="PreventionprogramsforpeoplewhoinjectdrugsPWIDandtheirpartners">#REF!</definedName>
    <definedName name="Preventionprogramsforsexworkersandtheirclients">#REF!</definedName>
    <definedName name="_xlnm.Print_Area" localSheetId="10">'Budget Variance_2F'!$A$1:$N$31</definedName>
    <definedName name="_xlnm.Print_Area" localSheetId="19">'Cash Forecast_8A'!$A$1:$N$111</definedName>
    <definedName name="_xlnm.Print_Area" localSheetId="4">'Coverage Indicators_1B'!$A$1:$AI$15</definedName>
    <definedName name="_xlnm.Print_Area" localSheetId="0">CoverSheet!$A$1:$O$20</definedName>
    <definedName name="_xlnm.Print_Area" localSheetId="3">Disaggregation_1A!$A$1:$Q$12</definedName>
    <definedName name="_xlnm.Print_Area" localSheetId="5">Disaggregation_1B!$A$1:$V$15</definedName>
    <definedName name="_xlnm.Print_Area" localSheetId="24">'Financial Triggers_10'!$A$1:$F$15</definedName>
    <definedName name="_xlnm.Print_Area" localSheetId="12">'Grant Management_4'!$A$1:$P$83</definedName>
    <definedName name="_xlnm.Print_Area" localSheetId="2">'Impact Outcome Indicators_1A'!$A$1:$AG$18</definedName>
    <definedName name="_xlnm.Print_Area" localSheetId="23">'LFA Authorization_9B'!$A$1:$O$25</definedName>
    <definedName name="_xlnm.Print_Area" localSheetId="17">'LFA Expenditure_7B'!$A$1:$M$72</definedName>
    <definedName name="_xlnm.Print_Area" localSheetId="14">'LFA_Findings&amp;Recommendations_6'!$A$1:$D$42</definedName>
    <definedName name="_xlnm.Print_Area" localSheetId="22">'PR Authorization_9A'!$A$1:$O$21</definedName>
    <definedName name="_xlnm.Print_Area" localSheetId="7">'PR Cash Reconciliation_2A,B,C,D'!$A$1:$L$57</definedName>
    <definedName name="_xlnm.Print_Area" localSheetId="15">'PR Expenditure_7A'!$A$1:$M$73</definedName>
    <definedName name="_xlnm.Print_Area" localSheetId="13">'PR-LFA Evaluation_5'!$A$1:$O$55</definedName>
    <definedName name="_xlnm.Print_Area" localSheetId="11">Procurement_3!$I$1:$X$58</definedName>
    <definedName name="_xlnm.Print_Area" localSheetId="20">'Request and Recommendation_8B'!$A$1:$V$74</definedName>
    <definedName name="_xlnm.Print_Area" localSheetId="9">'SR_Cash Reconciliation_2E'!$A$1:$N$115</definedName>
    <definedName name="_xlnm.Print_Area" localSheetId="6">WPTM_1C!$A$1:$S$10</definedName>
    <definedName name="_xlnm.Print_Titles" localSheetId="4">'Coverage Indicators_1B'!$A:$C,'Coverage Indicators_1B'!$1:$9</definedName>
    <definedName name="_xlnm.Print_Titles" localSheetId="3">Disaggregation_1A!$A:$D,Disaggregation_1A!$1:$6</definedName>
    <definedName name="_xlnm.Print_Titles" localSheetId="5">Disaggregation_1B!$A:$E,Disaggregation_1B!$1:$6</definedName>
    <definedName name="_xlnm.Print_Titles" localSheetId="2">'Impact Outcome Indicators_1A'!$C:$D,'Impact Outcome Indicators_1A'!$1:$8</definedName>
    <definedName name="_xlnm.Print_Titles" localSheetId="14">'LFA_Findings&amp;Recommendations_6'!$4:$7</definedName>
    <definedName name="_xlnm.Print_Titles" localSheetId="9">'SR_Cash Reconciliation_2E'!$5:$8</definedName>
    <definedName name="_xlnm.Print_Titles" localSheetId="6">WPTM_1C!$A:$D,WPTM_1C!$1:$6</definedName>
    <definedName name="Private_sector_case_management__other">#REF!</definedName>
    <definedName name="Private_sector_co_payment_mechanism">#REF!</definedName>
    <definedName name="procurementfee">'[2]Range Page'!$A$39</definedName>
    <definedName name="Programmanagement">#REF!</definedName>
    <definedName name="PS">#REF!</definedName>
    <definedName name="Regions">#REF!</definedName>
    <definedName name="Removinglegalbarrierstoaccess">#REF!</definedName>
    <definedName name="Reporting_Period">[3]Lists!$E$3:$E$6</definedName>
    <definedName name="ResultsbasedFinancing">#REF!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Currency">#REF!</definedName>
    <definedName name="Romania" localSheetId="0">[3]Grants!#REF!</definedName>
    <definedName name="Romania">[3]Grants!#REF!</definedName>
    <definedName name="Russian_Federation" localSheetId="0">[3]Grants!#REF!</definedName>
    <definedName name="Russian_Federation">[3]Grants!#REF!</definedName>
    <definedName name="Rwanda">#REF!</definedName>
    <definedName name="S">'[10]Memo HIV'!$A$2:$A$26</definedName>
    <definedName name="Sao_Tome_and_Principe" localSheetId="0">[3]Grants!#REF!</definedName>
    <definedName name="Sao_Tome_and_Principe">[3]Grants!#REF!</definedName>
    <definedName name="SD" localSheetId="0">#REF!</definedName>
    <definedName name="SD">#REF!</definedName>
    <definedName name="SDA" localSheetId="0">#REF!</definedName>
    <definedName name="SDA">#REF!</definedName>
    <definedName name="SDAHealthSystemsStrengthening" localSheetId="0">#REF!</definedName>
    <definedName name="SDAHealthSystemsStrengthening">#REF!</definedName>
    <definedName name="SDAHIVAIDS" localSheetId="0">#REF!</definedName>
    <definedName name="SDAHIVAIDS">#REF!</definedName>
    <definedName name="SDAList">#REF!</definedName>
    <definedName name="SDAMalaria" localSheetId="0">#REF!</definedName>
    <definedName name="SDAMalaria">#REF!</definedName>
    <definedName name="SDATuberculosis" localSheetId="0">#REF!</definedName>
    <definedName name="SDATuberculosis">#REF!</definedName>
    <definedName name="Select">#REF!</definedName>
    <definedName name="Senegal">#REF!</definedName>
    <definedName name="Serbia" localSheetId="0">[3]Grants!#REF!</definedName>
    <definedName name="Serbia">[3]Grants!#REF!</definedName>
    <definedName name="Severe_malaria">#REF!</definedName>
    <definedName name="Sex" localSheetId="0">#REF!</definedName>
    <definedName name="Sex" localSheetId="17">#REF!</definedName>
    <definedName name="Sex" localSheetId="22">#REF!</definedName>
    <definedName name="Sex">#REF!</definedName>
    <definedName name="Sierra_Leone">#REF!</definedName>
    <definedName name="Solomon_Islands" localSheetId="0">[3]Grants!#REF!</definedName>
    <definedName name="Solomon_Islands">[3]Grants!#REF!</definedName>
    <definedName name="Somalia">#REF!</definedName>
    <definedName name="Sources" localSheetId="0">#REF!</definedName>
    <definedName name="Sources">#REF!</definedName>
    <definedName name="South_Africa">#REF!</definedName>
    <definedName name="South_East_Asia">#REF!</definedName>
    <definedName name="South_Sudan">#REF!</definedName>
    <definedName name="Southern_and_Eastern_Africa">#REF!</definedName>
    <definedName name="Specialization" localSheetId="0">#REF!</definedName>
    <definedName name="Specialization" localSheetId="17">#REF!</definedName>
    <definedName name="Specialization" localSheetId="22">#REF!</definedName>
    <definedName name="Specialization">#REF!</definedName>
    <definedName name="SpecificpreventioninterventionsSPI">#REF!</definedName>
    <definedName name="Sri_Lanka">#REF!</definedName>
    <definedName name="StatusValues">'Grant Management_4'!$AC$66:$AC$68</definedName>
    <definedName name="Sudan">#REF!</definedName>
    <definedName name="Suriname" localSheetId="0">[3]Grants!#REF!</definedName>
    <definedName name="Suriname">[3]Grants!#REF!</definedName>
    <definedName name="Swaziland">#REF!</definedName>
    <definedName name="Syrian_Arab_Republic" localSheetId="0">[3]Grants!#REF!</definedName>
    <definedName name="Syrian_Arab_Republic">[3]Grants!#REF!</definedName>
    <definedName name="Tajikistan">#REF!</definedName>
    <definedName name="Tanzania__United_Republic_of">#REF!</definedName>
    <definedName name="TargetedRiskGroup" localSheetId="0">#REF!</definedName>
    <definedName name="TargetedRiskGroup" localSheetId="17">#REF!</definedName>
    <definedName name="TargetedRiskGroup" localSheetId="22">#REF!</definedName>
    <definedName name="TargetedRiskGroup">#REF!</definedName>
    <definedName name="Tax_Exemption_Status">[3]Lists!$A$11:$A$14</definedName>
    <definedName name="TaxPaidGF">[6]Input!$F$16</definedName>
    <definedName name="TaxPaidPR">[6]Input!$C$16</definedName>
    <definedName name="TaxPaidSR">[6]Input!$D$16</definedName>
    <definedName name="TaxPaidTotal">[6]Input!$E$16</definedName>
    <definedName name="TaxRecoveredGF">[6]Input!$F$17</definedName>
    <definedName name="TB">#REF!</definedName>
    <definedName name="TBcareandprevention">#REF!</definedName>
    <definedName name="TBHIV">#REF!</definedName>
    <definedName name="TBII">#REF!</definedName>
    <definedName name="TBO4a" localSheetId="0">#REF!</definedName>
    <definedName name="TBO4a">#REF!</definedName>
    <definedName name="TBO4Age" localSheetId="0">#REF!</definedName>
    <definedName name="TBO4Age">#REF!</definedName>
    <definedName name="TBO4Sex" localSheetId="0">#REF!</definedName>
    <definedName name="TBO4Sex">#REF!</definedName>
    <definedName name="TBOI">#REF!</definedName>
    <definedName name="TBSDA">#REF!</definedName>
    <definedName name="TBSource">#REF!</definedName>
    <definedName name="TCS1a">#REF!</definedName>
    <definedName name="TCS1aAge">#REF!</definedName>
    <definedName name="TCS1aSex">#REF!</definedName>
    <definedName name="TCS2a">#REF!</definedName>
    <definedName name="TCS2aSex">#REF!</definedName>
    <definedName name="TCS3a">#REF!</definedName>
    <definedName name="TCS3aAge">#REF!</definedName>
    <definedName name="TCS3aSex">#REF!</definedName>
    <definedName name="TEST" localSheetId="4">'Coverage Indicators_1B'!#REF!</definedName>
    <definedName name="TEST" localSheetId="0">#REF!</definedName>
    <definedName name="TEST" localSheetId="3">#REF!</definedName>
    <definedName name="TEST" localSheetId="17">#REF!</definedName>
    <definedName name="TEST" localSheetId="22">#REF!</definedName>
    <definedName name="TEST" localSheetId="15">#REF!</definedName>
    <definedName name="TEST" localSheetId="6">WPTM_1C!$B$9:$B$46</definedName>
    <definedName name="TEST">#REF!</definedName>
    <definedName name="Thailand">#REF!</definedName>
    <definedName name="Therapeutic_efficacy_surveillance">#REF!</definedName>
    <definedName name="Timeframe" localSheetId="4">#REF!</definedName>
    <definedName name="Timeframe" localSheetId="0">#REF!</definedName>
    <definedName name="Timeframe" localSheetId="3">#REF!</definedName>
    <definedName name="Timeframe" localSheetId="17">#REF!</definedName>
    <definedName name="Timeframe" localSheetId="22">#REF!</definedName>
    <definedName name="Timeframe" localSheetId="15">#REF!</definedName>
    <definedName name="Timeframe" localSheetId="6">#REF!</definedName>
    <definedName name="Timeframe">#REF!</definedName>
    <definedName name="Timor_Leste">#REF!</definedName>
    <definedName name="Togo">#REF!</definedName>
    <definedName name="Treatmentcareandsupport">#REF!</definedName>
    <definedName name="Tuberculosis_Module">#REF!</definedName>
    <definedName name="TuberculosisModule4">#REF!</definedName>
    <definedName name="TuberculosisModule5">#REF!</definedName>
    <definedName name="Tunisia" localSheetId="0">[3]Grants!#REF!</definedName>
    <definedName name="Tunisia">[3]Grants!#REF!</definedName>
    <definedName name="Turkmenistan" localSheetId="0">[3]Grants!#REF!</definedName>
    <definedName name="Turkmenistan">[3]Grants!#REF!</definedName>
    <definedName name="Type_of_Recipient">[7]Sheet1!$C$12:$C$25</definedName>
    <definedName name="Type1">#REF!</definedName>
    <definedName name="Type10">#REF!</definedName>
    <definedName name="Type2">#REF!</definedName>
    <definedName name="Type3">#REF!</definedName>
    <definedName name="Type4">#REF!</definedName>
    <definedName name="Type5">#REF!</definedName>
    <definedName name="Type6">#REF!</definedName>
    <definedName name="Type7">#REF!</definedName>
    <definedName name="Type8">#REF!</definedName>
    <definedName name="Type9">#REF!</definedName>
    <definedName name="TypeRegimen" localSheetId="0">#REF!</definedName>
    <definedName name="TypeRegimen" localSheetId="17">#REF!</definedName>
    <definedName name="TypeRegimen" localSheetId="22">#REF!</definedName>
    <definedName name="TypeRegimen">#REF!</definedName>
    <definedName name="TypeTesting" localSheetId="0">#REF!</definedName>
    <definedName name="TypeTesting" localSheetId="17">#REF!</definedName>
    <definedName name="TypeTesting" localSheetId="22">#REF!</definedName>
    <definedName name="TypeTesting">#REF!</definedName>
    <definedName name="TypeTreatment" localSheetId="0">#REF!</definedName>
    <definedName name="TypeTreatment" localSheetId="17">#REF!</definedName>
    <definedName name="TypeTreatment" localSheetId="22">#REF!</definedName>
    <definedName name="TypeTreatment">#REF!</definedName>
    <definedName name="Uganda">#REF!</definedName>
    <definedName name="Ukraine">#REF!</definedName>
    <definedName name="UnrecoverableGF">[6]Input!$F$18</definedName>
    <definedName name="Uruguay" localSheetId="0">[3]Grants!#REF!</definedName>
    <definedName name="Uruguay">[3]Grants!#REF!</definedName>
    <definedName name="Uzbekistan">#REF!</definedName>
    <definedName name="VC3a">#REF!</definedName>
    <definedName name="VC3aTargetedriskgroup">#REF!</definedName>
    <definedName name="VC4a">#REF!</definedName>
    <definedName name="VC4aTargetedriskgroup">#REF!</definedName>
    <definedName name="Vectorcontrol">#REF!</definedName>
    <definedName name="Viet_Nam">#REF!</definedName>
    <definedName name="Western_Africa">#REF!</definedName>
    <definedName name="XAuthorInvalidPicklistData">apttusmetadata!$B$1</definedName>
    <definedName name="Year">#REF!</definedName>
    <definedName name="Yemen">#REF!</definedName>
    <definedName name="YESNO">#REF!</definedName>
    <definedName name="Z_E26F941C_F347_432D_B4B3_73B25F002075_.wvu.PrintArea" localSheetId="4" hidden="1">'Coverage Indicators_1B'!$A$1:$U$10</definedName>
    <definedName name="Z_E26F941C_F347_432D_B4B3_73B25F002075_.wvu.PrintArea" localSheetId="0" hidden="1">CoverSheet!#REF!</definedName>
    <definedName name="Z_E26F941C_F347_432D_B4B3_73B25F002075_.wvu.PrintArea" localSheetId="2" hidden="1">'Impact Outcome Indicators_1A'!$C$1:$R$22</definedName>
    <definedName name="Z_E26F941C_F347_432D_B4B3_73B25F002075_.wvu.PrintArea" localSheetId="6" hidden="1">WPTM_1C!$A$1:$N$45</definedName>
    <definedName name="Z_E26F941C_F347_432D_B4B3_73B25F002075_.wvu.Rows" localSheetId="2" hidden="1">'Impact Outcome Indicators_1A'!$2:$2</definedName>
    <definedName name="Zambia">#REF!</definedName>
    <definedName name="Zanzibar">#REF!</definedName>
    <definedName name="Zimbabwe">#REF!</definedName>
  </definedNames>
  <calcPr calcId="152511"/>
  <customWorkbookViews>
    <customWorkbookView name="jinfanti - Personal View" guid="{E26F941C-F347-432D-B4B3-73B25F002075}" autoUpdate="1" mergeInterval="5" personalView="1" maximized="1" xWindow="1" yWindow="1" windowWidth="1280" windowHeight="803" tabRatio="792" activeSheetId="2" showComments="commIndAndComment"/>
  </customWorkbookViews>
</workbook>
</file>

<file path=xl/calcChain.xml><?xml version="1.0" encoding="utf-8"?>
<calcChain xmlns="http://schemas.openxmlformats.org/spreadsheetml/2006/main">
  <c r="D7" i="125" l="1"/>
  <c r="M13" i="69" l="1"/>
  <c r="M12" i="69"/>
  <c r="M11" i="69"/>
  <c r="M10" i="69"/>
  <c r="M9" i="69"/>
  <c r="M8" i="69"/>
  <c r="P13" i="64" l="1"/>
  <c r="D18" i="125" l="1"/>
  <c r="D11" i="125"/>
  <c r="E173" i="133" l="1"/>
  <c r="E172" i="133"/>
  <c r="E171" i="133"/>
  <c r="E170" i="133"/>
  <c r="E169" i="133"/>
  <c r="E168" i="133"/>
  <c r="E167" i="133"/>
  <c r="E166" i="133"/>
  <c r="E165" i="133"/>
  <c r="E164" i="133"/>
  <c r="E163" i="133"/>
  <c r="E162" i="133"/>
  <c r="E161" i="133"/>
  <c r="E160" i="133"/>
  <c r="E159" i="133"/>
  <c r="E158" i="133"/>
  <c r="E157" i="133"/>
  <c r="E156" i="133"/>
  <c r="E155" i="133"/>
  <c r="E154" i="133"/>
  <c r="E153" i="133"/>
  <c r="E152" i="133"/>
  <c r="E151" i="133"/>
  <c r="E150" i="133"/>
  <c r="E149" i="133"/>
  <c r="E148" i="133"/>
  <c r="E147" i="133"/>
  <c r="E146" i="133"/>
  <c r="E145" i="133"/>
  <c r="E144" i="133"/>
  <c r="E143" i="133"/>
  <c r="E142" i="133"/>
  <c r="E141" i="133"/>
  <c r="E140" i="133"/>
  <c r="E139" i="133"/>
  <c r="E138" i="133"/>
  <c r="E137" i="133"/>
  <c r="E136" i="133"/>
  <c r="E135" i="133"/>
  <c r="E134" i="133"/>
  <c r="E133" i="133"/>
  <c r="E132" i="133"/>
  <c r="E131" i="133"/>
  <c r="E130" i="133"/>
  <c r="E129" i="133"/>
  <c r="E128" i="133"/>
  <c r="E127" i="133"/>
  <c r="E126" i="133"/>
  <c r="E125" i="133"/>
  <c r="E124" i="133"/>
  <c r="E123" i="133"/>
  <c r="E122" i="133"/>
  <c r="E121" i="133"/>
  <c r="E120" i="133"/>
  <c r="E119" i="133"/>
  <c r="E118" i="133"/>
  <c r="E117" i="133"/>
  <c r="E116" i="133"/>
  <c r="E115" i="133"/>
  <c r="E114" i="133"/>
  <c r="E113" i="133"/>
  <c r="E112" i="133"/>
  <c r="E111" i="133"/>
  <c r="E110" i="133"/>
  <c r="E109" i="133"/>
  <c r="E108" i="133"/>
  <c r="E107" i="133"/>
  <c r="E106" i="133"/>
  <c r="E105" i="133"/>
  <c r="E104" i="133"/>
  <c r="E103" i="133"/>
  <c r="E102" i="133"/>
  <c r="E101" i="133"/>
  <c r="E100" i="133"/>
  <c r="E99" i="133"/>
  <c r="E98" i="133"/>
  <c r="P65" i="128"/>
  <c r="P64" i="128"/>
  <c r="P63" i="128"/>
  <c r="P62" i="128"/>
  <c r="P61" i="128"/>
  <c r="P60" i="128"/>
  <c r="P59" i="128"/>
  <c r="P58" i="128"/>
  <c r="P57" i="128"/>
  <c r="P56" i="128"/>
  <c r="P55" i="128"/>
  <c r="P54" i="128"/>
  <c r="P53" i="128"/>
  <c r="P52" i="128"/>
  <c r="P51" i="128"/>
  <c r="P50" i="128"/>
  <c r="P49" i="128"/>
  <c r="P48" i="128"/>
  <c r="P47" i="128"/>
  <c r="P46" i="128"/>
  <c r="P45" i="128"/>
  <c r="P44" i="128"/>
  <c r="P43" i="128"/>
  <c r="P42" i="128"/>
  <c r="P41" i="128"/>
  <c r="M65" i="128"/>
  <c r="M64" i="128"/>
  <c r="M63" i="128"/>
  <c r="M62" i="128"/>
  <c r="M61" i="128"/>
  <c r="M60" i="128"/>
  <c r="M59" i="128"/>
  <c r="M58" i="128"/>
  <c r="M57" i="128"/>
  <c r="M56" i="128"/>
  <c r="M55" i="128"/>
  <c r="M54" i="128"/>
  <c r="M53" i="128"/>
  <c r="M52" i="128"/>
  <c r="M51" i="128"/>
  <c r="M50" i="128"/>
  <c r="M49" i="128"/>
  <c r="M48" i="128"/>
  <c r="M47" i="128"/>
  <c r="M46" i="128"/>
  <c r="M45" i="128"/>
  <c r="M44" i="128"/>
  <c r="M43" i="128"/>
  <c r="M42" i="128"/>
  <c r="M41" i="128"/>
  <c r="G65" i="128"/>
  <c r="G64" i="128"/>
  <c r="G63" i="128"/>
  <c r="G62" i="128"/>
  <c r="G61" i="128"/>
  <c r="G60" i="128"/>
  <c r="G59" i="128"/>
  <c r="G58" i="128"/>
  <c r="G57" i="128"/>
  <c r="G56" i="128"/>
  <c r="G55" i="128"/>
  <c r="G54" i="128"/>
  <c r="G53" i="128"/>
  <c r="G52" i="128"/>
  <c r="G51" i="128"/>
  <c r="G50" i="128"/>
  <c r="G49" i="128"/>
  <c r="G48" i="128"/>
  <c r="G47" i="128"/>
  <c r="G46" i="128"/>
  <c r="G45" i="128"/>
  <c r="G44" i="128"/>
  <c r="G43" i="128"/>
  <c r="G42" i="128"/>
  <c r="G41" i="128"/>
  <c r="O56" i="121"/>
  <c r="O55" i="121"/>
  <c r="O54" i="121"/>
  <c r="O53" i="121"/>
  <c r="O52" i="121"/>
  <c r="O51" i="121"/>
  <c r="O50" i="121"/>
  <c r="O49" i="121"/>
  <c r="O48" i="121"/>
  <c r="O47" i="121"/>
  <c r="O46" i="121"/>
  <c r="O45" i="121"/>
  <c r="O44" i="121"/>
  <c r="O43" i="121"/>
  <c r="O42" i="121"/>
  <c r="M56" i="121"/>
  <c r="M55" i="121"/>
  <c r="M54" i="121"/>
  <c r="M53" i="121"/>
  <c r="M52" i="121"/>
  <c r="M51" i="121"/>
  <c r="M50" i="121"/>
  <c r="M49" i="121"/>
  <c r="M48" i="121"/>
  <c r="M47" i="121"/>
  <c r="M46" i="121"/>
  <c r="M45" i="121"/>
  <c r="M44" i="121"/>
  <c r="M43" i="121"/>
  <c r="M42" i="121"/>
  <c r="L56" i="121"/>
  <c r="L55" i="121"/>
  <c r="L54" i="121"/>
  <c r="L53" i="121"/>
  <c r="L52" i="121"/>
  <c r="L51" i="121"/>
  <c r="L50" i="121"/>
  <c r="L49" i="121"/>
  <c r="L48" i="121"/>
  <c r="L47" i="121"/>
  <c r="L46" i="121"/>
  <c r="L45" i="121"/>
  <c r="L44" i="121"/>
  <c r="L43" i="121"/>
  <c r="L42" i="121"/>
  <c r="G49" i="121"/>
  <c r="F56" i="121"/>
  <c r="F48" i="121"/>
  <c r="D56" i="121"/>
  <c r="G56" i="121" s="1"/>
  <c r="D55" i="121"/>
  <c r="F55" i="121" s="1"/>
  <c r="D54" i="121"/>
  <c r="F54" i="121" s="1"/>
  <c r="D53" i="121"/>
  <c r="F53" i="121" s="1"/>
  <c r="D52" i="121"/>
  <c r="G52" i="121" s="1"/>
  <c r="D51" i="121"/>
  <c r="F51" i="121" s="1"/>
  <c r="D50" i="121"/>
  <c r="F50" i="121" s="1"/>
  <c r="D49" i="121"/>
  <c r="F49" i="121" s="1"/>
  <c r="D48" i="121"/>
  <c r="G48" i="121" s="1"/>
  <c r="D47" i="121"/>
  <c r="F47" i="121" s="1"/>
  <c r="D46" i="121"/>
  <c r="F46" i="121" s="1"/>
  <c r="D45" i="121"/>
  <c r="F45" i="121" s="1"/>
  <c r="D44" i="121"/>
  <c r="G44" i="121" s="1"/>
  <c r="D43" i="121"/>
  <c r="F43" i="121" s="1"/>
  <c r="D42" i="121"/>
  <c r="F42" i="121" s="1"/>
  <c r="O57" i="120"/>
  <c r="O56" i="120"/>
  <c r="O55" i="120"/>
  <c r="O54" i="120"/>
  <c r="O53" i="120"/>
  <c r="O52" i="120"/>
  <c r="O51" i="120"/>
  <c r="O50" i="120"/>
  <c r="O49" i="120"/>
  <c r="O48" i="120"/>
  <c r="O47" i="120"/>
  <c r="O46" i="120"/>
  <c r="O45" i="120"/>
  <c r="O44" i="120"/>
  <c r="O43" i="120"/>
  <c r="L57" i="120"/>
  <c r="L56" i="120"/>
  <c r="L55" i="120"/>
  <c r="L54" i="120"/>
  <c r="L53" i="120"/>
  <c r="L52" i="120"/>
  <c r="L51" i="120"/>
  <c r="L50" i="120"/>
  <c r="L49" i="120"/>
  <c r="L48" i="120"/>
  <c r="L47" i="120"/>
  <c r="L46" i="120"/>
  <c r="L45" i="120"/>
  <c r="L44" i="120"/>
  <c r="L43" i="120"/>
  <c r="K57" i="120"/>
  <c r="K56" i="120"/>
  <c r="K55" i="120"/>
  <c r="K54" i="120"/>
  <c r="K53" i="120"/>
  <c r="K52" i="120"/>
  <c r="K51" i="120"/>
  <c r="K50" i="120"/>
  <c r="K49" i="120"/>
  <c r="K48" i="120"/>
  <c r="K47" i="120"/>
  <c r="K46" i="120"/>
  <c r="K45" i="120"/>
  <c r="K44" i="120"/>
  <c r="K43" i="120"/>
  <c r="F57" i="120"/>
  <c r="F56" i="120"/>
  <c r="F55" i="120"/>
  <c r="F54" i="120"/>
  <c r="F53" i="120"/>
  <c r="F52" i="120"/>
  <c r="F51" i="120"/>
  <c r="F50" i="120"/>
  <c r="F49" i="120"/>
  <c r="F48" i="120"/>
  <c r="F47" i="120"/>
  <c r="F46" i="120"/>
  <c r="F45" i="120"/>
  <c r="F44" i="120"/>
  <c r="F43" i="120"/>
  <c r="E57" i="120"/>
  <c r="E56" i="120"/>
  <c r="E55" i="120"/>
  <c r="E54" i="120"/>
  <c r="E53" i="120"/>
  <c r="E52" i="120"/>
  <c r="E51" i="120"/>
  <c r="E50" i="120"/>
  <c r="E49" i="120"/>
  <c r="E48" i="120"/>
  <c r="E47" i="120"/>
  <c r="E46" i="120"/>
  <c r="E45" i="120"/>
  <c r="E44" i="120"/>
  <c r="E43" i="120"/>
  <c r="E25" i="132"/>
  <c r="E24" i="132"/>
  <c r="E18" i="132"/>
  <c r="E17" i="132"/>
  <c r="E16" i="132"/>
  <c r="E15" i="132"/>
  <c r="J99" i="128"/>
  <c r="J98" i="128"/>
  <c r="J97" i="128"/>
  <c r="G99" i="128"/>
  <c r="G98" i="128"/>
  <c r="G97" i="128"/>
  <c r="J92" i="128"/>
  <c r="J91" i="128"/>
  <c r="J90" i="128"/>
  <c r="G92" i="128"/>
  <c r="G91" i="128"/>
  <c r="G90" i="128"/>
  <c r="J87" i="128"/>
  <c r="K87" i="128" s="1"/>
  <c r="G87" i="128"/>
  <c r="U109" i="126"/>
  <c r="U108" i="126"/>
  <c r="U107" i="126"/>
  <c r="U106" i="126"/>
  <c r="U105" i="126"/>
  <c r="U104" i="126"/>
  <c r="U103" i="126"/>
  <c r="U102" i="126"/>
  <c r="U101" i="126"/>
  <c r="U100" i="126"/>
  <c r="U99" i="126"/>
  <c r="U98" i="126"/>
  <c r="U97" i="126"/>
  <c r="U96" i="126"/>
  <c r="U95" i="126"/>
  <c r="U94" i="126"/>
  <c r="U93" i="126"/>
  <c r="U92" i="126"/>
  <c r="U91" i="126"/>
  <c r="U90" i="126"/>
  <c r="U89" i="126"/>
  <c r="U88" i="126"/>
  <c r="U87" i="126"/>
  <c r="U86" i="126"/>
  <c r="U85" i="126"/>
  <c r="U84" i="126"/>
  <c r="U83" i="126"/>
  <c r="U82" i="126"/>
  <c r="U81" i="126"/>
  <c r="U80" i="126"/>
  <c r="U79" i="126"/>
  <c r="U78" i="126"/>
  <c r="U77" i="126"/>
  <c r="U76" i="126"/>
  <c r="U75" i="126"/>
  <c r="U74" i="126"/>
  <c r="U73" i="126"/>
  <c r="U72" i="126"/>
  <c r="U71" i="126"/>
  <c r="U70" i="126"/>
  <c r="U69" i="126"/>
  <c r="U68" i="126"/>
  <c r="U67" i="126"/>
  <c r="U66" i="126"/>
  <c r="U65" i="126"/>
  <c r="U64" i="126"/>
  <c r="U63" i="126"/>
  <c r="U62" i="126"/>
  <c r="U61" i="126"/>
  <c r="U60" i="126"/>
  <c r="U59" i="126"/>
  <c r="U58" i="126"/>
  <c r="U57" i="126"/>
  <c r="U56" i="126"/>
  <c r="U55" i="126"/>
  <c r="U54" i="126"/>
  <c r="U53" i="126"/>
  <c r="U52" i="126"/>
  <c r="U51" i="126"/>
  <c r="U50" i="126"/>
  <c r="U49" i="126"/>
  <c r="U48" i="126"/>
  <c r="U47" i="126"/>
  <c r="U46" i="126"/>
  <c r="U45" i="126"/>
  <c r="U44" i="126"/>
  <c r="U43" i="126"/>
  <c r="U42" i="126"/>
  <c r="U41" i="126"/>
  <c r="U40" i="126"/>
  <c r="U39" i="126"/>
  <c r="U38" i="126"/>
  <c r="U37" i="126"/>
  <c r="U36" i="126"/>
  <c r="U35" i="126"/>
  <c r="U34" i="126"/>
  <c r="U33" i="126"/>
  <c r="U32" i="126"/>
  <c r="U31" i="126"/>
  <c r="U30" i="126"/>
  <c r="U29" i="126"/>
  <c r="U28" i="126"/>
  <c r="U27" i="126"/>
  <c r="U26" i="126"/>
  <c r="U25" i="126"/>
  <c r="U24" i="126"/>
  <c r="U23" i="126"/>
  <c r="U22" i="126"/>
  <c r="U21" i="126"/>
  <c r="U20" i="126"/>
  <c r="U19" i="126"/>
  <c r="U18" i="126"/>
  <c r="U17" i="126"/>
  <c r="U16" i="126"/>
  <c r="U15" i="126"/>
  <c r="U14" i="126"/>
  <c r="U13" i="126"/>
  <c r="U12" i="126"/>
  <c r="U11" i="126"/>
  <c r="U10" i="126"/>
  <c r="M106" i="126"/>
  <c r="P106" i="126" s="1"/>
  <c r="M102" i="126"/>
  <c r="P102" i="126" s="1"/>
  <c r="M98" i="126"/>
  <c r="P98" i="126" s="1"/>
  <c r="M94" i="126"/>
  <c r="P94" i="126" s="1"/>
  <c r="M90" i="126"/>
  <c r="P90" i="126" s="1"/>
  <c r="M86" i="126"/>
  <c r="P86" i="126" s="1"/>
  <c r="M82" i="126"/>
  <c r="P82" i="126" s="1"/>
  <c r="M78" i="126"/>
  <c r="P78" i="126" s="1"/>
  <c r="M74" i="126"/>
  <c r="P74" i="126" s="1"/>
  <c r="M70" i="126"/>
  <c r="P70" i="126" s="1"/>
  <c r="M66" i="126"/>
  <c r="P66" i="126" s="1"/>
  <c r="M62" i="126"/>
  <c r="P62" i="126" s="1"/>
  <c r="M58" i="126"/>
  <c r="P58" i="126" s="1"/>
  <c r="M54" i="126"/>
  <c r="P54" i="126" s="1"/>
  <c r="M50" i="126"/>
  <c r="P50" i="126" s="1"/>
  <c r="M46" i="126"/>
  <c r="P46" i="126" s="1"/>
  <c r="M42" i="126"/>
  <c r="P42" i="126" s="1"/>
  <c r="M38" i="126"/>
  <c r="P38" i="126" s="1"/>
  <c r="M34" i="126"/>
  <c r="P34" i="126" s="1"/>
  <c r="M30" i="126"/>
  <c r="P30" i="126" s="1"/>
  <c r="M26" i="126"/>
  <c r="P26" i="126" s="1"/>
  <c r="M22" i="126"/>
  <c r="P22" i="126" s="1"/>
  <c r="M18" i="126"/>
  <c r="P18" i="126" s="1"/>
  <c r="M14" i="126"/>
  <c r="P14" i="126" s="1"/>
  <c r="J109" i="126"/>
  <c r="J105" i="126"/>
  <c r="J101" i="126"/>
  <c r="J97" i="126"/>
  <c r="J93" i="126"/>
  <c r="J89" i="126"/>
  <c r="J85" i="126"/>
  <c r="J81" i="126"/>
  <c r="J77" i="126"/>
  <c r="J73" i="126"/>
  <c r="J69" i="126"/>
  <c r="J65" i="126"/>
  <c r="J61" i="126"/>
  <c r="J57" i="126"/>
  <c r="J53" i="126"/>
  <c r="J49" i="126"/>
  <c r="J45" i="126"/>
  <c r="J41" i="126"/>
  <c r="J37" i="126"/>
  <c r="J33" i="126"/>
  <c r="J29" i="126"/>
  <c r="J25" i="126"/>
  <c r="J21" i="126"/>
  <c r="J17" i="126"/>
  <c r="J13" i="126"/>
  <c r="H109" i="126"/>
  <c r="M109" i="126" s="1"/>
  <c r="P109" i="126" s="1"/>
  <c r="H108" i="126"/>
  <c r="J108" i="126" s="1"/>
  <c r="H107" i="126"/>
  <c r="M107" i="126" s="1"/>
  <c r="P107" i="126" s="1"/>
  <c r="H106" i="126"/>
  <c r="J106" i="126" s="1"/>
  <c r="H105" i="126"/>
  <c r="M105" i="126" s="1"/>
  <c r="P105" i="126" s="1"/>
  <c r="H104" i="126"/>
  <c r="J104" i="126" s="1"/>
  <c r="H103" i="126"/>
  <c r="M103" i="126" s="1"/>
  <c r="P103" i="126" s="1"/>
  <c r="H102" i="126"/>
  <c r="J102" i="126" s="1"/>
  <c r="H101" i="126"/>
  <c r="M101" i="126" s="1"/>
  <c r="P101" i="126" s="1"/>
  <c r="H100" i="126"/>
  <c r="J100" i="126" s="1"/>
  <c r="H99" i="126"/>
  <c r="M99" i="126" s="1"/>
  <c r="P99" i="126" s="1"/>
  <c r="H98" i="126"/>
  <c r="J98" i="126" s="1"/>
  <c r="H97" i="126"/>
  <c r="M97" i="126" s="1"/>
  <c r="P97" i="126" s="1"/>
  <c r="H96" i="126"/>
  <c r="J96" i="126" s="1"/>
  <c r="H95" i="126"/>
  <c r="M95" i="126" s="1"/>
  <c r="P95" i="126" s="1"/>
  <c r="H94" i="126"/>
  <c r="J94" i="126" s="1"/>
  <c r="H93" i="126"/>
  <c r="M93" i="126" s="1"/>
  <c r="P93" i="126" s="1"/>
  <c r="H92" i="126"/>
  <c r="J92" i="126" s="1"/>
  <c r="H91" i="126"/>
  <c r="M91" i="126" s="1"/>
  <c r="P91" i="126" s="1"/>
  <c r="H90" i="126"/>
  <c r="J90" i="126" s="1"/>
  <c r="H89" i="126"/>
  <c r="M89" i="126" s="1"/>
  <c r="P89" i="126" s="1"/>
  <c r="H88" i="126"/>
  <c r="J88" i="126" s="1"/>
  <c r="H87" i="126"/>
  <c r="M87" i="126" s="1"/>
  <c r="P87" i="126" s="1"/>
  <c r="H86" i="126"/>
  <c r="J86" i="126" s="1"/>
  <c r="H85" i="126"/>
  <c r="M85" i="126" s="1"/>
  <c r="P85" i="126" s="1"/>
  <c r="H84" i="126"/>
  <c r="J84" i="126" s="1"/>
  <c r="H83" i="126"/>
  <c r="M83" i="126" s="1"/>
  <c r="P83" i="126" s="1"/>
  <c r="H82" i="126"/>
  <c r="J82" i="126" s="1"/>
  <c r="H81" i="126"/>
  <c r="M81" i="126" s="1"/>
  <c r="P81" i="126" s="1"/>
  <c r="H80" i="126"/>
  <c r="J80" i="126" s="1"/>
  <c r="H79" i="126"/>
  <c r="M79" i="126" s="1"/>
  <c r="P79" i="126" s="1"/>
  <c r="H78" i="126"/>
  <c r="J78" i="126" s="1"/>
  <c r="H77" i="126"/>
  <c r="M77" i="126" s="1"/>
  <c r="P77" i="126" s="1"/>
  <c r="H76" i="126"/>
  <c r="J76" i="126" s="1"/>
  <c r="H75" i="126"/>
  <c r="M75" i="126" s="1"/>
  <c r="P75" i="126" s="1"/>
  <c r="H74" i="126"/>
  <c r="J74" i="126" s="1"/>
  <c r="H73" i="126"/>
  <c r="M73" i="126" s="1"/>
  <c r="P73" i="126" s="1"/>
  <c r="H72" i="126"/>
  <c r="J72" i="126" s="1"/>
  <c r="H71" i="126"/>
  <c r="M71" i="126" s="1"/>
  <c r="P71" i="126" s="1"/>
  <c r="H70" i="126"/>
  <c r="J70" i="126" s="1"/>
  <c r="H69" i="126"/>
  <c r="M69" i="126" s="1"/>
  <c r="P69" i="126" s="1"/>
  <c r="H68" i="126"/>
  <c r="J68" i="126" s="1"/>
  <c r="H67" i="126"/>
  <c r="M67" i="126" s="1"/>
  <c r="P67" i="126" s="1"/>
  <c r="H66" i="126"/>
  <c r="J66" i="126" s="1"/>
  <c r="H65" i="126"/>
  <c r="M65" i="126" s="1"/>
  <c r="P65" i="126" s="1"/>
  <c r="H64" i="126"/>
  <c r="J64" i="126" s="1"/>
  <c r="H63" i="126"/>
  <c r="M63" i="126" s="1"/>
  <c r="P63" i="126" s="1"/>
  <c r="H62" i="126"/>
  <c r="J62" i="126" s="1"/>
  <c r="H61" i="126"/>
  <c r="M61" i="126" s="1"/>
  <c r="P61" i="126" s="1"/>
  <c r="H60" i="126"/>
  <c r="J60" i="126" s="1"/>
  <c r="H59" i="126"/>
  <c r="M59" i="126" s="1"/>
  <c r="P59" i="126" s="1"/>
  <c r="H58" i="126"/>
  <c r="J58" i="126" s="1"/>
  <c r="H57" i="126"/>
  <c r="M57" i="126" s="1"/>
  <c r="P57" i="126" s="1"/>
  <c r="H56" i="126"/>
  <c r="J56" i="126" s="1"/>
  <c r="H55" i="126"/>
  <c r="M55" i="126" s="1"/>
  <c r="P55" i="126" s="1"/>
  <c r="H54" i="126"/>
  <c r="J54" i="126" s="1"/>
  <c r="H53" i="126"/>
  <c r="M53" i="126" s="1"/>
  <c r="P53" i="126" s="1"/>
  <c r="H52" i="126"/>
  <c r="J52" i="126" s="1"/>
  <c r="H51" i="126"/>
  <c r="M51" i="126" s="1"/>
  <c r="P51" i="126" s="1"/>
  <c r="H50" i="126"/>
  <c r="J50" i="126" s="1"/>
  <c r="H49" i="126"/>
  <c r="M49" i="126" s="1"/>
  <c r="P49" i="126" s="1"/>
  <c r="H48" i="126"/>
  <c r="J48" i="126" s="1"/>
  <c r="H47" i="126"/>
  <c r="M47" i="126" s="1"/>
  <c r="P47" i="126" s="1"/>
  <c r="H46" i="126"/>
  <c r="J46" i="126" s="1"/>
  <c r="H45" i="126"/>
  <c r="M45" i="126" s="1"/>
  <c r="P45" i="126" s="1"/>
  <c r="H44" i="126"/>
  <c r="J44" i="126" s="1"/>
  <c r="H43" i="126"/>
  <c r="M43" i="126" s="1"/>
  <c r="P43" i="126" s="1"/>
  <c r="H42" i="126"/>
  <c r="J42" i="126" s="1"/>
  <c r="H41" i="126"/>
  <c r="M41" i="126" s="1"/>
  <c r="P41" i="126" s="1"/>
  <c r="H40" i="126"/>
  <c r="J40" i="126" s="1"/>
  <c r="H39" i="126"/>
  <c r="M39" i="126" s="1"/>
  <c r="P39" i="126" s="1"/>
  <c r="H38" i="126"/>
  <c r="J38" i="126" s="1"/>
  <c r="H37" i="126"/>
  <c r="M37" i="126" s="1"/>
  <c r="P37" i="126" s="1"/>
  <c r="H36" i="126"/>
  <c r="J36" i="126" s="1"/>
  <c r="H35" i="126"/>
  <c r="M35" i="126" s="1"/>
  <c r="P35" i="126" s="1"/>
  <c r="H34" i="126"/>
  <c r="J34" i="126" s="1"/>
  <c r="H33" i="126"/>
  <c r="M33" i="126" s="1"/>
  <c r="P33" i="126" s="1"/>
  <c r="H32" i="126"/>
  <c r="J32" i="126" s="1"/>
  <c r="H31" i="126"/>
  <c r="M31" i="126" s="1"/>
  <c r="P31" i="126" s="1"/>
  <c r="H30" i="126"/>
  <c r="J30" i="126" s="1"/>
  <c r="H29" i="126"/>
  <c r="M29" i="126" s="1"/>
  <c r="P29" i="126" s="1"/>
  <c r="H28" i="126"/>
  <c r="J28" i="126" s="1"/>
  <c r="H27" i="126"/>
  <c r="M27" i="126" s="1"/>
  <c r="P27" i="126" s="1"/>
  <c r="H26" i="126"/>
  <c r="J26" i="126" s="1"/>
  <c r="H25" i="126"/>
  <c r="M25" i="126" s="1"/>
  <c r="P25" i="126" s="1"/>
  <c r="H24" i="126"/>
  <c r="J24" i="126" s="1"/>
  <c r="H23" i="126"/>
  <c r="M23" i="126" s="1"/>
  <c r="P23" i="126" s="1"/>
  <c r="H22" i="126"/>
  <c r="J22" i="126" s="1"/>
  <c r="H21" i="126"/>
  <c r="M21" i="126" s="1"/>
  <c r="P21" i="126" s="1"/>
  <c r="H20" i="126"/>
  <c r="J20" i="126" s="1"/>
  <c r="H19" i="126"/>
  <c r="M19" i="126" s="1"/>
  <c r="P19" i="126" s="1"/>
  <c r="H18" i="126"/>
  <c r="J18" i="126" s="1"/>
  <c r="H17" i="126"/>
  <c r="M17" i="126" s="1"/>
  <c r="P17" i="126" s="1"/>
  <c r="H16" i="126"/>
  <c r="J16" i="126" s="1"/>
  <c r="H15" i="126"/>
  <c r="M15" i="126" s="1"/>
  <c r="P15" i="126" s="1"/>
  <c r="H14" i="126"/>
  <c r="J14" i="126" s="1"/>
  <c r="H13" i="126"/>
  <c r="M13" i="126" s="1"/>
  <c r="P13" i="126" s="1"/>
  <c r="H12" i="126"/>
  <c r="J12" i="126" s="1"/>
  <c r="H11" i="126"/>
  <c r="M11" i="126" s="1"/>
  <c r="P11" i="126" s="1"/>
  <c r="H10" i="126"/>
  <c r="M10" i="126" s="1"/>
  <c r="P10" i="126" s="1"/>
  <c r="M74" i="128"/>
  <c r="M73" i="128"/>
  <c r="M72" i="128"/>
  <c r="G74" i="128"/>
  <c r="G73" i="128"/>
  <c r="G72" i="128"/>
  <c r="M38" i="128"/>
  <c r="M37" i="128"/>
  <c r="M36" i="128"/>
  <c r="M35" i="128"/>
  <c r="M34" i="128"/>
  <c r="M33" i="128"/>
  <c r="M32" i="128"/>
  <c r="M31" i="128"/>
  <c r="M30" i="128"/>
  <c r="G38" i="128"/>
  <c r="G37" i="128"/>
  <c r="G36" i="128"/>
  <c r="G35" i="128"/>
  <c r="G34" i="128"/>
  <c r="G33" i="128"/>
  <c r="G32" i="128"/>
  <c r="G31" i="128"/>
  <c r="G30" i="128"/>
  <c r="M22" i="128"/>
  <c r="M21" i="128"/>
  <c r="M20" i="128"/>
  <c r="M19" i="128"/>
  <c r="M18" i="128"/>
  <c r="M17" i="128"/>
  <c r="M16" i="128"/>
  <c r="M15" i="128"/>
  <c r="M14" i="128"/>
  <c r="M13" i="128"/>
  <c r="M12" i="128"/>
  <c r="M11" i="128"/>
  <c r="M10" i="128"/>
  <c r="G22" i="128"/>
  <c r="G21" i="128"/>
  <c r="G20" i="128"/>
  <c r="G19" i="128"/>
  <c r="G18" i="128"/>
  <c r="G17" i="128"/>
  <c r="G16" i="128"/>
  <c r="G15" i="128"/>
  <c r="G14" i="128"/>
  <c r="G13" i="128"/>
  <c r="G12" i="128"/>
  <c r="G11" i="128"/>
  <c r="G10" i="128"/>
  <c r="H40" i="131"/>
  <c r="H39" i="131"/>
  <c r="H38" i="131"/>
  <c r="H37" i="131"/>
  <c r="H36" i="131"/>
  <c r="H35" i="131"/>
  <c r="H34" i="131"/>
  <c r="H33" i="131"/>
  <c r="H32" i="131"/>
  <c r="H31" i="131"/>
  <c r="H30" i="131"/>
  <c r="H29" i="131"/>
  <c r="H28" i="131"/>
  <c r="H27" i="131"/>
  <c r="H26" i="131"/>
  <c r="H25" i="131"/>
  <c r="H24" i="131"/>
  <c r="H23" i="131"/>
  <c r="H22" i="131"/>
  <c r="H21" i="131"/>
  <c r="H20" i="131"/>
  <c r="H19" i="131"/>
  <c r="H18" i="131"/>
  <c r="H17" i="131"/>
  <c r="H16" i="131"/>
  <c r="H15" i="131"/>
  <c r="H14" i="131"/>
  <c r="H13" i="131"/>
  <c r="H12" i="131"/>
  <c r="H11" i="131"/>
  <c r="H10" i="131"/>
  <c r="H9" i="131"/>
  <c r="H8" i="131"/>
  <c r="H7" i="131"/>
  <c r="H6" i="131"/>
  <c r="H5" i="131"/>
  <c r="G40" i="131"/>
  <c r="G39" i="131"/>
  <c r="G38" i="131"/>
  <c r="G37" i="131"/>
  <c r="G36" i="131"/>
  <c r="G32" i="131"/>
  <c r="G30" i="131"/>
  <c r="G29" i="131"/>
  <c r="G28" i="131"/>
  <c r="G27" i="131"/>
  <c r="G26" i="131"/>
  <c r="G25" i="131"/>
  <c r="G21" i="131"/>
  <c r="G20" i="131"/>
  <c r="G19" i="131"/>
  <c r="G18" i="131"/>
  <c r="G17" i="131"/>
  <c r="G15" i="131"/>
  <c r="G14" i="131"/>
  <c r="G12" i="131"/>
  <c r="G10" i="131"/>
  <c r="G9" i="131"/>
  <c r="G8" i="131"/>
  <c r="G7" i="131"/>
  <c r="G6" i="131"/>
  <c r="G5" i="131"/>
  <c r="F40" i="131"/>
  <c r="F39" i="131"/>
  <c r="F38" i="131"/>
  <c r="F37" i="131"/>
  <c r="F35" i="131"/>
  <c r="F32" i="131"/>
  <c r="F30" i="131"/>
  <c r="F29" i="131"/>
  <c r="F28" i="131"/>
  <c r="F27" i="131"/>
  <c r="F26" i="131"/>
  <c r="F25" i="131"/>
  <c r="F23" i="131"/>
  <c r="F22" i="131"/>
  <c r="F21" i="131"/>
  <c r="F20" i="131"/>
  <c r="F19" i="131"/>
  <c r="F18" i="131"/>
  <c r="F17" i="131"/>
  <c r="F15" i="131"/>
  <c r="F14" i="131"/>
  <c r="F12" i="131"/>
  <c r="F10" i="131"/>
  <c r="F9" i="131"/>
  <c r="F8" i="131"/>
  <c r="F7" i="131"/>
  <c r="F6" i="131"/>
  <c r="F5" i="131"/>
  <c r="E40" i="131"/>
  <c r="E39" i="131"/>
  <c r="E38" i="131"/>
  <c r="E37" i="131"/>
  <c r="E36" i="131"/>
  <c r="E35" i="131"/>
  <c r="E34" i="131"/>
  <c r="E33" i="131"/>
  <c r="E32" i="131"/>
  <c r="E31" i="131"/>
  <c r="E30" i="131"/>
  <c r="E29" i="131"/>
  <c r="E28" i="131"/>
  <c r="E27" i="131"/>
  <c r="E26" i="131"/>
  <c r="E25" i="131"/>
  <c r="E24" i="131"/>
  <c r="E22" i="131"/>
  <c r="E21" i="131"/>
  <c r="E20" i="131"/>
  <c r="E19" i="131"/>
  <c r="E18" i="131"/>
  <c r="E17" i="131"/>
  <c r="E16" i="131"/>
  <c r="E15" i="131"/>
  <c r="E14" i="131"/>
  <c r="E13" i="131"/>
  <c r="E12" i="131"/>
  <c r="E11" i="131"/>
  <c r="E10" i="131"/>
  <c r="E9" i="131"/>
  <c r="E8" i="131"/>
  <c r="E7" i="131"/>
  <c r="E6" i="131"/>
  <c r="E5" i="131"/>
  <c r="D40" i="131"/>
  <c r="D39" i="131"/>
  <c r="D38" i="131"/>
  <c r="D37" i="131"/>
  <c r="D32" i="131"/>
  <c r="D30" i="131"/>
  <c r="D29" i="131"/>
  <c r="D28" i="131"/>
  <c r="D27" i="131"/>
  <c r="D26" i="131"/>
  <c r="D25" i="131"/>
  <c r="D21" i="131"/>
  <c r="D20" i="131"/>
  <c r="D19" i="131"/>
  <c r="D18" i="131"/>
  <c r="D17" i="131"/>
  <c r="D15" i="131"/>
  <c r="D14" i="131"/>
  <c r="D12" i="131"/>
  <c r="D10" i="131"/>
  <c r="D9" i="131"/>
  <c r="D8" i="131"/>
  <c r="D7" i="131"/>
  <c r="D6" i="131"/>
  <c r="D5" i="131"/>
  <c r="C40" i="131"/>
  <c r="C39" i="131"/>
  <c r="C38" i="131"/>
  <c r="C37" i="131"/>
  <c r="C35" i="131"/>
  <c r="C32" i="131"/>
  <c r="C30" i="131"/>
  <c r="C29" i="131"/>
  <c r="C28" i="131"/>
  <c r="C27" i="131"/>
  <c r="C26" i="131"/>
  <c r="C25" i="131"/>
  <c r="C23" i="131"/>
  <c r="C22" i="131"/>
  <c r="C21" i="131"/>
  <c r="C20" i="131"/>
  <c r="C19" i="131"/>
  <c r="C18" i="131"/>
  <c r="C17" i="131"/>
  <c r="C15" i="131"/>
  <c r="C14" i="131"/>
  <c r="C12" i="131"/>
  <c r="C10" i="131"/>
  <c r="C9" i="131"/>
  <c r="C8" i="131"/>
  <c r="C7" i="131"/>
  <c r="C6" i="131"/>
  <c r="C5" i="131"/>
  <c r="M66" i="121"/>
  <c r="M65" i="121"/>
  <c r="M64" i="121"/>
  <c r="L66" i="121"/>
  <c r="L65" i="121"/>
  <c r="L64" i="121"/>
  <c r="D66" i="121"/>
  <c r="G66" i="121" s="1"/>
  <c r="D65" i="121"/>
  <c r="G65" i="121" s="1"/>
  <c r="D64" i="121"/>
  <c r="G64" i="121" s="1"/>
  <c r="M39" i="121"/>
  <c r="M38" i="121"/>
  <c r="M37" i="121"/>
  <c r="M36" i="121"/>
  <c r="M35" i="121"/>
  <c r="M34" i="121"/>
  <c r="M33" i="121"/>
  <c r="M32" i="121"/>
  <c r="L39" i="121"/>
  <c r="L38" i="121"/>
  <c r="L37" i="121"/>
  <c r="L36" i="121"/>
  <c r="L35" i="121"/>
  <c r="L34" i="121"/>
  <c r="L33" i="121"/>
  <c r="L32" i="121"/>
  <c r="D39" i="121"/>
  <c r="G39" i="121" s="1"/>
  <c r="D38" i="121"/>
  <c r="G38" i="121" s="1"/>
  <c r="D37" i="121"/>
  <c r="G37" i="121" s="1"/>
  <c r="D36" i="121"/>
  <c r="G36" i="121" s="1"/>
  <c r="D35" i="121"/>
  <c r="G35" i="121" s="1"/>
  <c r="D34" i="121"/>
  <c r="G34" i="121" s="1"/>
  <c r="D33" i="121"/>
  <c r="G33" i="121" s="1"/>
  <c r="D32" i="121"/>
  <c r="G32" i="121" s="1"/>
  <c r="M20" i="121"/>
  <c r="M19" i="121"/>
  <c r="M18" i="121"/>
  <c r="M17" i="121"/>
  <c r="M16" i="121"/>
  <c r="M15" i="121"/>
  <c r="M14" i="121"/>
  <c r="M13" i="121"/>
  <c r="M12" i="121"/>
  <c r="M11" i="121"/>
  <c r="M10" i="121"/>
  <c r="M9" i="121"/>
  <c r="M8" i="121"/>
  <c r="L20" i="121"/>
  <c r="L19" i="121"/>
  <c r="L18" i="121"/>
  <c r="L17" i="121"/>
  <c r="L16" i="121"/>
  <c r="L15" i="121"/>
  <c r="L14" i="121"/>
  <c r="L13" i="121"/>
  <c r="L12" i="121"/>
  <c r="L11" i="121"/>
  <c r="L10" i="121"/>
  <c r="L9" i="121"/>
  <c r="L8" i="121"/>
  <c r="D20" i="121"/>
  <c r="G20" i="121" s="1"/>
  <c r="D19" i="121"/>
  <c r="G19" i="121" s="1"/>
  <c r="D18" i="121"/>
  <c r="F18" i="121" s="1"/>
  <c r="D17" i="121"/>
  <c r="G17" i="121" s="1"/>
  <c r="D16" i="121"/>
  <c r="G16" i="121" s="1"/>
  <c r="D15" i="121"/>
  <c r="G15" i="121" s="1"/>
  <c r="D14" i="121"/>
  <c r="F14" i="121" s="1"/>
  <c r="D13" i="121"/>
  <c r="G13" i="121" s="1"/>
  <c r="D12" i="121"/>
  <c r="G12" i="121" s="1"/>
  <c r="D11" i="121"/>
  <c r="G11" i="121" s="1"/>
  <c r="D10" i="121"/>
  <c r="F10" i="121" s="1"/>
  <c r="D9" i="121"/>
  <c r="G9" i="121" s="1"/>
  <c r="D8" i="121"/>
  <c r="G8" i="121" s="1"/>
  <c r="L67" i="120"/>
  <c r="L66" i="120"/>
  <c r="L65" i="120"/>
  <c r="K67" i="120"/>
  <c r="K66" i="120"/>
  <c r="K65" i="120"/>
  <c r="F67" i="120"/>
  <c r="F66" i="120"/>
  <c r="F65" i="120"/>
  <c r="E67" i="120"/>
  <c r="E66" i="120"/>
  <c r="E65" i="120"/>
  <c r="L40" i="120"/>
  <c r="L39" i="120"/>
  <c r="L38" i="120"/>
  <c r="L37" i="120"/>
  <c r="L36" i="120"/>
  <c r="L35" i="120"/>
  <c r="L34" i="120"/>
  <c r="L33" i="120"/>
  <c r="K40" i="120"/>
  <c r="K39" i="120"/>
  <c r="K38" i="120"/>
  <c r="K37" i="120"/>
  <c r="K36" i="120"/>
  <c r="K35" i="120"/>
  <c r="K34" i="120"/>
  <c r="K33" i="120"/>
  <c r="F40" i="120"/>
  <c r="F39" i="120"/>
  <c r="F38" i="120"/>
  <c r="F37" i="120"/>
  <c r="F36" i="120"/>
  <c r="F35" i="120"/>
  <c r="F34" i="120"/>
  <c r="F33" i="120"/>
  <c r="E40" i="120"/>
  <c r="E39" i="120"/>
  <c r="E38" i="120"/>
  <c r="E37" i="120"/>
  <c r="E36" i="120"/>
  <c r="E35" i="120"/>
  <c r="E34" i="120"/>
  <c r="E33" i="120"/>
  <c r="L21" i="120"/>
  <c r="L20" i="120"/>
  <c r="L19" i="120"/>
  <c r="L18" i="120"/>
  <c r="L17" i="120"/>
  <c r="L16" i="120"/>
  <c r="L15" i="120"/>
  <c r="L14" i="120"/>
  <c r="L13" i="120"/>
  <c r="L12" i="120"/>
  <c r="L11" i="120"/>
  <c r="L10" i="120"/>
  <c r="L9" i="120"/>
  <c r="K21" i="120"/>
  <c r="K20" i="120"/>
  <c r="K19" i="120"/>
  <c r="K18" i="120"/>
  <c r="K17" i="120"/>
  <c r="K16" i="120"/>
  <c r="K15" i="120"/>
  <c r="K14" i="120"/>
  <c r="K13" i="120"/>
  <c r="K12" i="120"/>
  <c r="K11" i="120"/>
  <c r="K10" i="120"/>
  <c r="K9" i="120"/>
  <c r="F21" i="120"/>
  <c r="F20" i="120"/>
  <c r="F19" i="120"/>
  <c r="F18" i="120"/>
  <c r="F17" i="120"/>
  <c r="F16" i="120"/>
  <c r="F15" i="120"/>
  <c r="F14" i="120"/>
  <c r="F13" i="120"/>
  <c r="F12" i="120"/>
  <c r="F11" i="120"/>
  <c r="F10" i="120"/>
  <c r="F9" i="120"/>
  <c r="E21" i="120"/>
  <c r="E20" i="120"/>
  <c r="E19" i="120"/>
  <c r="E18" i="120"/>
  <c r="E17" i="120"/>
  <c r="E16" i="120"/>
  <c r="E15" i="120"/>
  <c r="E14" i="120"/>
  <c r="E13" i="120"/>
  <c r="E12" i="120"/>
  <c r="E11" i="120"/>
  <c r="E10" i="120"/>
  <c r="E9" i="120"/>
  <c r="J20" i="4"/>
  <c r="J19" i="4"/>
  <c r="J18" i="4"/>
  <c r="J17" i="4"/>
  <c r="J16" i="4"/>
  <c r="J15" i="4"/>
  <c r="J14" i="4"/>
  <c r="J13" i="4"/>
  <c r="J12" i="4"/>
  <c r="J11" i="4"/>
  <c r="R8" i="83"/>
  <c r="N8" i="83"/>
  <c r="K8" i="83"/>
  <c r="U13" i="69"/>
  <c r="U12" i="69"/>
  <c r="U11" i="69"/>
  <c r="U10" i="69"/>
  <c r="U9" i="69"/>
  <c r="U8" i="69"/>
  <c r="R13" i="69"/>
  <c r="R12" i="69"/>
  <c r="R11" i="69"/>
  <c r="R10" i="69"/>
  <c r="R9" i="69"/>
  <c r="R8" i="69"/>
  <c r="D13" i="69"/>
  <c r="D12" i="69"/>
  <c r="D11" i="69"/>
  <c r="D10" i="69"/>
  <c r="D9" i="69"/>
  <c r="D8" i="69"/>
  <c r="AB13" i="64"/>
  <c r="AD13" i="64" s="1"/>
  <c r="AB12" i="64"/>
  <c r="AB11" i="64"/>
  <c r="AD11" i="64" s="1"/>
  <c r="AA13" i="64"/>
  <c r="AC13" i="64" s="1"/>
  <c r="AA12" i="64"/>
  <c r="AD12" i="64" s="1"/>
  <c r="AA11" i="64"/>
  <c r="AC11" i="64" s="1"/>
  <c r="X13" i="64"/>
  <c r="X11" i="64"/>
  <c r="V13" i="64"/>
  <c r="V12" i="64"/>
  <c r="X12" i="64" s="1"/>
  <c r="V11" i="64"/>
  <c r="R12" i="64"/>
  <c r="R11" i="64"/>
  <c r="R13" i="64"/>
  <c r="P12" i="64"/>
  <c r="P11" i="64"/>
  <c r="O10" i="80"/>
  <c r="V16" i="2"/>
  <c r="V15" i="2"/>
  <c r="V14" i="2"/>
  <c r="O14" i="2"/>
  <c r="V11" i="2"/>
  <c r="V10" i="2"/>
  <c r="O10" i="2"/>
  <c r="G40" i="41"/>
  <c r="G39" i="41"/>
  <c r="G38" i="41"/>
  <c r="G37" i="41"/>
  <c r="G36" i="41"/>
  <c r="G35" i="41"/>
  <c r="G34" i="41"/>
  <c r="G33" i="41"/>
  <c r="G32" i="41"/>
  <c r="G31" i="41"/>
  <c r="G30" i="41"/>
  <c r="G29" i="41"/>
  <c r="G28" i="41"/>
  <c r="G27" i="41"/>
  <c r="G26" i="41"/>
  <c r="G25" i="41"/>
  <c r="G24" i="41"/>
  <c r="G23" i="41"/>
  <c r="G22" i="41"/>
  <c r="G21" i="41"/>
  <c r="G20" i="41"/>
  <c r="G19" i="41"/>
  <c r="G18" i="41"/>
  <c r="G17" i="41"/>
  <c r="G16" i="41"/>
  <c r="G15" i="41"/>
  <c r="G14" i="41"/>
  <c r="G13" i="41"/>
  <c r="G12" i="41"/>
  <c r="G11" i="41"/>
  <c r="F40" i="41"/>
  <c r="F39" i="41"/>
  <c r="F38" i="41"/>
  <c r="F37" i="41"/>
  <c r="F36" i="41"/>
  <c r="F35" i="41"/>
  <c r="F34" i="41"/>
  <c r="F33" i="41"/>
  <c r="F32" i="41"/>
  <c r="F31" i="41"/>
  <c r="F30" i="41"/>
  <c r="F29" i="41"/>
  <c r="F28" i="41"/>
  <c r="F27" i="41"/>
  <c r="F26" i="41"/>
  <c r="F25" i="41"/>
  <c r="F24" i="41"/>
  <c r="F23" i="41"/>
  <c r="F22" i="41"/>
  <c r="F21" i="41"/>
  <c r="F20" i="41"/>
  <c r="F19" i="41"/>
  <c r="F18" i="41"/>
  <c r="F17" i="41"/>
  <c r="F16" i="41"/>
  <c r="F15" i="41"/>
  <c r="F14" i="41"/>
  <c r="F13" i="41"/>
  <c r="F12" i="41"/>
  <c r="F11" i="41"/>
  <c r="E40" i="41"/>
  <c r="E39" i="41"/>
  <c r="E38" i="41"/>
  <c r="E37" i="41"/>
  <c r="E36" i="41"/>
  <c r="E35" i="41"/>
  <c r="E34" i="41"/>
  <c r="E33" i="41"/>
  <c r="E32" i="41"/>
  <c r="E31" i="41"/>
  <c r="E30" i="41"/>
  <c r="E29" i="41"/>
  <c r="E28" i="41"/>
  <c r="E27" i="41"/>
  <c r="E26" i="41"/>
  <c r="E25" i="41"/>
  <c r="E24" i="41"/>
  <c r="E23" i="41"/>
  <c r="E22" i="41"/>
  <c r="E21" i="41"/>
  <c r="E20" i="41"/>
  <c r="E19" i="41"/>
  <c r="E18" i="41"/>
  <c r="E17" i="41"/>
  <c r="E16" i="41"/>
  <c r="E15" i="41"/>
  <c r="E14" i="41"/>
  <c r="E13" i="41"/>
  <c r="E12" i="41"/>
  <c r="E11" i="41"/>
  <c r="F65" i="121" l="1"/>
  <c r="F19" i="121"/>
  <c r="F11" i="121"/>
  <c r="F15" i="121"/>
  <c r="AC12" i="64"/>
  <c r="G14" i="121"/>
  <c r="F9" i="121"/>
  <c r="F17" i="121"/>
  <c r="G18" i="121"/>
  <c r="F66" i="121"/>
  <c r="F13" i="121"/>
  <c r="G10" i="121"/>
  <c r="F64" i="121"/>
  <c r="J11" i="126"/>
  <c r="J15" i="126"/>
  <c r="J19" i="126"/>
  <c r="J23" i="126"/>
  <c r="J27" i="126"/>
  <c r="J31" i="126"/>
  <c r="J35" i="126"/>
  <c r="J39" i="126"/>
  <c r="J43" i="126"/>
  <c r="J47" i="126"/>
  <c r="J51" i="126"/>
  <c r="J55" i="126"/>
  <c r="J59" i="126"/>
  <c r="J63" i="126"/>
  <c r="J67" i="126"/>
  <c r="J71" i="126"/>
  <c r="J75" i="126"/>
  <c r="J79" i="126"/>
  <c r="J83" i="126"/>
  <c r="J87" i="126"/>
  <c r="J91" i="126"/>
  <c r="J95" i="126"/>
  <c r="J99" i="126"/>
  <c r="J103" i="126"/>
  <c r="J107" i="126"/>
  <c r="M12" i="126"/>
  <c r="P12" i="126" s="1"/>
  <c r="M16" i="126"/>
  <c r="P16" i="126" s="1"/>
  <c r="M20" i="126"/>
  <c r="P20" i="126" s="1"/>
  <c r="M24" i="126"/>
  <c r="P24" i="126" s="1"/>
  <c r="M28" i="126"/>
  <c r="P28" i="126" s="1"/>
  <c r="M32" i="126"/>
  <c r="P32" i="126" s="1"/>
  <c r="M36" i="126"/>
  <c r="P36" i="126" s="1"/>
  <c r="M40" i="126"/>
  <c r="P40" i="126" s="1"/>
  <c r="M44" i="126"/>
  <c r="P44" i="126" s="1"/>
  <c r="M48" i="126"/>
  <c r="P48" i="126" s="1"/>
  <c r="M52" i="126"/>
  <c r="P52" i="126" s="1"/>
  <c r="M56" i="126"/>
  <c r="P56" i="126" s="1"/>
  <c r="M60" i="126"/>
  <c r="P60" i="126" s="1"/>
  <c r="M64" i="126"/>
  <c r="P64" i="126" s="1"/>
  <c r="M68" i="126"/>
  <c r="P68" i="126" s="1"/>
  <c r="M72" i="126"/>
  <c r="P72" i="126" s="1"/>
  <c r="M76" i="126"/>
  <c r="P76" i="126" s="1"/>
  <c r="M80" i="126"/>
  <c r="P80" i="126" s="1"/>
  <c r="M84" i="126"/>
  <c r="P84" i="126" s="1"/>
  <c r="M88" i="126"/>
  <c r="P88" i="126" s="1"/>
  <c r="M92" i="126"/>
  <c r="P92" i="126" s="1"/>
  <c r="M96" i="126"/>
  <c r="P96" i="126" s="1"/>
  <c r="M100" i="126"/>
  <c r="P100" i="126" s="1"/>
  <c r="M104" i="126"/>
  <c r="P104" i="126" s="1"/>
  <c r="M108" i="126"/>
  <c r="P108" i="126" s="1"/>
  <c r="G42" i="121"/>
  <c r="G50" i="121"/>
  <c r="F44" i="121"/>
  <c r="F52" i="121"/>
  <c r="G45" i="121"/>
  <c r="G53" i="121"/>
  <c r="G46" i="121"/>
  <c r="G54" i="121"/>
  <c r="J10" i="126"/>
  <c r="G43" i="121"/>
  <c r="G47" i="121"/>
  <c r="G51" i="121"/>
  <c r="G55" i="121"/>
  <c r="F35" i="121"/>
  <c r="F39" i="121"/>
  <c r="F32" i="121"/>
  <c r="F36" i="121"/>
  <c r="F33" i="121"/>
  <c r="F37" i="121"/>
  <c r="F34" i="121"/>
  <c r="F38" i="121"/>
  <c r="F8" i="121"/>
  <c r="F12" i="121"/>
  <c r="F16" i="121"/>
  <c r="F20" i="121"/>
  <c r="S24" i="121"/>
  <c r="K26" i="121"/>
  <c r="J26" i="121"/>
  <c r="E26" i="121"/>
  <c r="C26" i="121"/>
  <c r="M7" i="121"/>
  <c r="L7" i="121"/>
  <c r="D7" i="121"/>
  <c r="J27" i="120"/>
  <c r="I27" i="120"/>
  <c r="D27" i="120"/>
  <c r="C27" i="120"/>
  <c r="L8" i="120"/>
  <c r="K8" i="120"/>
  <c r="F8" i="120"/>
  <c r="E8" i="120"/>
  <c r="F7" i="121" l="1"/>
  <c r="G7" i="121"/>
  <c r="H28" i="125"/>
  <c r="K28" i="125" s="1"/>
  <c r="G19" i="125"/>
  <c r="G13" i="131" s="1"/>
  <c r="L7" i="134"/>
  <c r="O7" i="134" s="1"/>
  <c r="L8" i="134"/>
  <c r="O8" i="134" s="1"/>
  <c r="L9" i="134"/>
  <c r="L10" i="134"/>
  <c r="O10" i="134" s="1"/>
  <c r="L11" i="134"/>
  <c r="O11" i="134" s="1"/>
  <c r="L12" i="134"/>
  <c r="O12" i="134" s="1"/>
  <c r="L13" i="134"/>
  <c r="O13" i="134" s="1"/>
  <c r="L14" i="134"/>
  <c r="O14" i="134" s="1"/>
  <c r="L15" i="134"/>
  <c r="O15" i="134" s="1"/>
  <c r="L16" i="134"/>
  <c r="O16" i="134" s="1"/>
  <c r="L17" i="134"/>
  <c r="O17" i="134" s="1"/>
  <c r="L18" i="134"/>
  <c r="O18" i="134" s="1"/>
  <c r="L19" i="134"/>
  <c r="O19" i="134" s="1"/>
  <c r="L20" i="134"/>
  <c r="O20" i="134" s="1"/>
  <c r="L21" i="134"/>
  <c r="O21" i="134" s="1"/>
  <c r="L22" i="134"/>
  <c r="O22" i="134" s="1"/>
  <c r="L23" i="134"/>
  <c r="O23" i="134" s="1"/>
  <c r="L24" i="134"/>
  <c r="O24" i="134" s="1"/>
  <c r="L25" i="134"/>
  <c r="O25" i="134" s="1"/>
  <c r="L26" i="134"/>
  <c r="O26" i="134" s="1"/>
  <c r="L27" i="134"/>
  <c r="O27" i="134" s="1"/>
  <c r="L28" i="134"/>
  <c r="O28" i="134" s="1"/>
  <c r="L29" i="134"/>
  <c r="O29" i="134" s="1"/>
  <c r="L30" i="134"/>
  <c r="O30" i="134" s="1"/>
  <c r="L31" i="134"/>
  <c r="O31" i="134" s="1"/>
  <c r="L32" i="134"/>
  <c r="O32" i="134" s="1"/>
  <c r="L33" i="134"/>
  <c r="O33" i="134" s="1"/>
  <c r="L34" i="134"/>
  <c r="O34" i="134" s="1"/>
  <c r="L35" i="134"/>
  <c r="O35" i="134" s="1"/>
  <c r="L36" i="134"/>
  <c r="O36" i="134" s="1"/>
  <c r="L37" i="134"/>
  <c r="O37" i="134" s="1"/>
  <c r="L38" i="134"/>
  <c r="O38" i="134" s="1"/>
  <c r="L39" i="134"/>
  <c r="O39" i="134" s="1"/>
  <c r="L40" i="134"/>
  <c r="O40" i="134" s="1"/>
  <c r="L41" i="134"/>
  <c r="O41" i="134" s="1"/>
  <c r="L42" i="134"/>
  <c r="O42" i="134" s="1"/>
  <c r="L43" i="134"/>
  <c r="O43" i="134" s="1"/>
  <c r="L44" i="134"/>
  <c r="O44" i="134" s="1"/>
  <c r="L45" i="134"/>
  <c r="O45" i="134" s="1"/>
  <c r="L46" i="134"/>
  <c r="O46" i="134" s="1"/>
  <c r="L47" i="134"/>
  <c r="O47" i="134" s="1"/>
  <c r="L48" i="134"/>
  <c r="O48" i="134" s="1"/>
  <c r="L49" i="134"/>
  <c r="O49" i="134" s="1"/>
  <c r="L50" i="134"/>
  <c r="O50" i="134" s="1"/>
  <c r="L51" i="134"/>
  <c r="O51" i="134" s="1"/>
  <c r="L52" i="134"/>
  <c r="O52" i="134" s="1"/>
  <c r="L53" i="134"/>
  <c r="O53" i="134" s="1"/>
  <c r="L54" i="134"/>
  <c r="O54" i="134" s="1"/>
  <c r="L55" i="134"/>
  <c r="O55" i="134" s="1"/>
  <c r="L6" i="134"/>
  <c r="O6" i="134" s="1"/>
  <c r="O9" i="134"/>
  <c r="L65" i="134"/>
  <c r="O65" i="134" s="1"/>
  <c r="L66" i="134"/>
  <c r="O66" i="134" s="1"/>
  <c r="L67" i="134"/>
  <c r="O67" i="134" s="1"/>
  <c r="L68" i="134"/>
  <c r="O68" i="134" s="1"/>
  <c r="L69" i="134"/>
  <c r="O69" i="134" s="1"/>
  <c r="L70" i="134"/>
  <c r="O70" i="134" s="1"/>
  <c r="L71" i="134"/>
  <c r="O71" i="134" s="1"/>
  <c r="L72" i="134"/>
  <c r="O72" i="134" s="1"/>
  <c r="L73" i="134"/>
  <c r="O73" i="134" s="1"/>
  <c r="L74" i="134"/>
  <c r="O74" i="134" s="1"/>
  <c r="L75" i="134"/>
  <c r="O75" i="134" s="1"/>
  <c r="L76" i="134"/>
  <c r="O76" i="134" s="1"/>
  <c r="L77" i="134"/>
  <c r="O77" i="134" s="1"/>
  <c r="L78" i="134"/>
  <c r="O78" i="134" s="1"/>
  <c r="L79" i="134"/>
  <c r="O79" i="134" s="1"/>
  <c r="L80" i="134"/>
  <c r="O80" i="134" s="1"/>
  <c r="L81" i="134"/>
  <c r="O81" i="134" s="1"/>
  <c r="L82" i="134"/>
  <c r="O82" i="134" s="1"/>
  <c r="L83" i="134"/>
  <c r="O83" i="134" s="1"/>
  <c r="L84" i="134"/>
  <c r="O84" i="134" s="1"/>
  <c r="L85" i="134"/>
  <c r="O85" i="134" s="1"/>
  <c r="L86" i="134"/>
  <c r="O86" i="134" s="1"/>
  <c r="L87" i="134"/>
  <c r="O87" i="134" s="1"/>
  <c r="L88" i="134"/>
  <c r="O88" i="134" s="1"/>
  <c r="L89" i="134"/>
  <c r="O89" i="134" s="1"/>
  <c r="L90" i="134"/>
  <c r="O90" i="134" s="1"/>
  <c r="L91" i="134"/>
  <c r="O91" i="134" s="1"/>
  <c r="L92" i="134"/>
  <c r="O92" i="134" s="1"/>
  <c r="L93" i="134"/>
  <c r="O93" i="134" s="1"/>
  <c r="L94" i="134"/>
  <c r="O94" i="134" s="1"/>
  <c r="L95" i="134"/>
  <c r="O95" i="134" s="1"/>
  <c r="L96" i="134"/>
  <c r="O96" i="134" s="1"/>
  <c r="L97" i="134"/>
  <c r="O97" i="134" s="1"/>
  <c r="L98" i="134"/>
  <c r="O98" i="134" s="1"/>
  <c r="L99" i="134"/>
  <c r="O99" i="134" s="1"/>
  <c r="L100" i="134"/>
  <c r="O100" i="134" s="1"/>
  <c r="L101" i="134"/>
  <c r="O101" i="134" s="1"/>
  <c r="L102" i="134"/>
  <c r="O102" i="134" s="1"/>
  <c r="L103" i="134"/>
  <c r="O103" i="134" s="1"/>
  <c r="L104" i="134"/>
  <c r="O104" i="134" s="1"/>
  <c r="L105" i="134"/>
  <c r="O105" i="134" s="1"/>
  <c r="L106" i="134"/>
  <c r="O106" i="134" s="1"/>
  <c r="L107" i="134"/>
  <c r="O107" i="134" s="1"/>
  <c r="L108" i="134"/>
  <c r="O108" i="134" s="1"/>
  <c r="L109" i="134"/>
  <c r="O109" i="134" s="1"/>
  <c r="L110" i="134"/>
  <c r="O110" i="134" s="1"/>
  <c r="L111" i="134"/>
  <c r="O111" i="134" s="1"/>
  <c r="L112" i="134"/>
  <c r="O112" i="134" s="1"/>
  <c r="L113" i="134"/>
  <c r="O113" i="134" s="1"/>
  <c r="L64" i="134"/>
  <c r="O64" i="134" s="1"/>
  <c r="N114" i="134"/>
  <c r="K114" i="134"/>
  <c r="F114" i="134"/>
  <c r="F116" i="134" s="1"/>
  <c r="N56" i="134"/>
  <c r="K56" i="134"/>
  <c r="F56" i="134"/>
  <c r="F58" i="134" s="1"/>
  <c r="I107" i="129"/>
  <c r="H107" i="129"/>
  <c r="I52" i="129" s="1"/>
  <c r="G107" i="129"/>
  <c r="F107" i="129"/>
  <c r="E107" i="129"/>
  <c r="E52" i="129" s="1"/>
  <c r="D107" i="129"/>
  <c r="D52" i="129" s="1"/>
  <c r="C107" i="129"/>
  <c r="B107" i="129"/>
  <c r="B52" i="129" s="1"/>
  <c r="I106" i="129"/>
  <c r="H106" i="129"/>
  <c r="G106" i="129"/>
  <c r="F106" i="129"/>
  <c r="E106" i="129"/>
  <c r="D106" i="129"/>
  <c r="C106" i="129"/>
  <c r="B106" i="129"/>
  <c r="I105" i="129"/>
  <c r="H105" i="129"/>
  <c r="G105" i="129"/>
  <c r="F105" i="129"/>
  <c r="E105" i="129"/>
  <c r="D105" i="129"/>
  <c r="C105" i="129"/>
  <c r="B105" i="129"/>
  <c r="I104" i="129"/>
  <c r="H104" i="129"/>
  <c r="I26" i="129" s="1"/>
  <c r="G104" i="129"/>
  <c r="H26" i="129" s="1"/>
  <c r="F104" i="129"/>
  <c r="E104" i="129"/>
  <c r="E26" i="129" s="1"/>
  <c r="D104" i="129"/>
  <c r="D26" i="129" s="1"/>
  <c r="C104" i="129"/>
  <c r="C26" i="129" s="1"/>
  <c r="B104" i="129"/>
  <c r="B26" i="129" s="1"/>
  <c r="I103" i="129"/>
  <c r="H103" i="129"/>
  <c r="G103" i="129"/>
  <c r="F103" i="129"/>
  <c r="E103" i="129"/>
  <c r="D103" i="129"/>
  <c r="C103" i="129"/>
  <c r="B103" i="129"/>
  <c r="B102" i="129"/>
  <c r="B25" i="129" s="1"/>
  <c r="C102" i="129"/>
  <c r="D102" i="129"/>
  <c r="E102" i="129"/>
  <c r="F102" i="129"/>
  <c r="G102" i="129"/>
  <c r="H102" i="129"/>
  <c r="I102" i="129"/>
  <c r="I101" i="129"/>
  <c r="H101" i="129"/>
  <c r="I38" i="129" s="1"/>
  <c r="G101" i="129"/>
  <c r="H38" i="129" s="1"/>
  <c r="F101" i="129"/>
  <c r="E101" i="129"/>
  <c r="E12" i="129" s="1"/>
  <c r="D101" i="129"/>
  <c r="D12" i="129" s="1"/>
  <c r="C101" i="129"/>
  <c r="C12" i="129" s="1"/>
  <c r="B101" i="129"/>
  <c r="B12" i="129" s="1"/>
  <c r="H52" i="129"/>
  <c r="C52" i="129"/>
  <c r="L17" i="129"/>
  <c r="L15" i="129"/>
  <c r="B38" i="129" l="1"/>
  <c r="C25" i="129"/>
  <c r="J38" i="129"/>
  <c r="J52" i="129"/>
  <c r="J26" i="129"/>
  <c r="B51" i="129"/>
  <c r="H51" i="129"/>
  <c r="I51" i="129"/>
  <c r="H12" i="129"/>
  <c r="C38" i="129"/>
  <c r="C51" i="129"/>
  <c r="F12" i="129"/>
  <c r="L56" i="134"/>
  <c r="E38" i="129"/>
  <c r="D51" i="129"/>
  <c r="O56" i="134"/>
  <c r="L114" i="134"/>
  <c r="O114" i="134"/>
  <c r="I12" i="129"/>
  <c r="D38" i="129"/>
  <c r="F52" i="129"/>
  <c r="K52" i="129" s="1"/>
  <c r="E51" i="129"/>
  <c r="F26" i="129"/>
  <c r="D25" i="129" l="1"/>
  <c r="J51" i="129"/>
  <c r="F51" i="129"/>
  <c r="K26" i="129"/>
  <c r="F38" i="129"/>
  <c r="K38" i="129" s="1"/>
  <c r="J12" i="129"/>
  <c r="K12" i="129" s="1"/>
  <c r="S25" i="120"/>
  <c r="E97" i="133"/>
  <c r="E25" i="129" l="1"/>
  <c r="F25" i="129" s="1"/>
  <c r="K51" i="129"/>
  <c r="M24" i="121"/>
  <c r="L24" i="121"/>
  <c r="D24" i="121"/>
  <c r="L25" i="120"/>
  <c r="K25" i="120"/>
  <c r="F25" i="120"/>
  <c r="E25" i="120"/>
  <c r="H25" i="129" l="1"/>
  <c r="I25" i="129" s="1"/>
  <c r="J25" i="129" s="1"/>
  <c r="K25" i="129" s="1"/>
  <c r="F24" i="121"/>
  <c r="G24" i="121"/>
  <c r="C4" i="131" l="1"/>
  <c r="B55" i="124" l="1"/>
  <c r="K76" i="128" l="1"/>
  <c r="J76" i="128"/>
  <c r="F76" i="128"/>
  <c r="E76" i="128"/>
  <c r="D76" i="128"/>
  <c r="C76" i="128"/>
  <c r="G71" i="128"/>
  <c r="G76" i="128" s="1"/>
  <c r="M71" i="128"/>
  <c r="M76" i="128" s="1"/>
  <c r="P40" i="128" l="1"/>
  <c r="M40" i="128"/>
  <c r="G40" i="128"/>
  <c r="K67" i="128"/>
  <c r="J67" i="128"/>
  <c r="F67" i="128"/>
  <c r="E67" i="128"/>
  <c r="D67" i="128"/>
  <c r="C67" i="128"/>
  <c r="O41" i="121"/>
  <c r="K58" i="121"/>
  <c r="J58" i="121"/>
  <c r="E58" i="121"/>
  <c r="C58" i="121"/>
  <c r="M41" i="121"/>
  <c r="L41" i="121"/>
  <c r="D41" i="121"/>
  <c r="G41" i="121" s="1"/>
  <c r="L42" i="120"/>
  <c r="K42" i="120"/>
  <c r="F42" i="120"/>
  <c r="E42" i="120"/>
  <c r="J59" i="120"/>
  <c r="I59" i="120"/>
  <c r="D59" i="120"/>
  <c r="C59" i="120"/>
  <c r="F41" i="121" l="1"/>
  <c r="O42" i="120"/>
  <c r="L59" i="120"/>
  <c r="I12" i="133" a="1"/>
  <c r="I12" i="133" s="1"/>
  <c r="I13" i="133" l="1" a="1"/>
  <c r="I13" i="133" s="1"/>
  <c r="J13" i="133" s="1" a="1"/>
  <c r="J13" i="133" s="1"/>
  <c r="J12" i="133" a="1"/>
  <c r="J12" i="133" s="1"/>
  <c r="E10" i="41"/>
  <c r="I14" i="133" l="1" a="1"/>
  <c r="I14" i="133" s="1"/>
  <c r="J14" i="133" s="1" a="1"/>
  <c r="J14" i="133" s="1"/>
  <c r="J88" i="128"/>
  <c r="G88" i="128"/>
  <c r="H9" i="126"/>
  <c r="G111" i="126"/>
  <c r="I15" i="133" l="1" a="1"/>
  <c r="I15" i="133" s="1"/>
  <c r="J15" i="133" s="1" a="1"/>
  <c r="J15" i="133" s="1"/>
  <c r="H111" i="126"/>
  <c r="M9" i="126"/>
  <c r="K88" i="128"/>
  <c r="I16" i="133" l="1" a="1"/>
  <c r="I16" i="133" s="1"/>
  <c r="J16" i="133" s="1" a="1"/>
  <c r="J16" i="133" s="1"/>
  <c r="D31" i="125"/>
  <c r="D23" i="131" s="1"/>
  <c r="J85" i="128"/>
  <c r="K85" i="128" s="1"/>
  <c r="L111" i="126"/>
  <c r="M111" i="126" s="1"/>
  <c r="I17" i="133" l="1" a="1"/>
  <c r="I17" i="133" s="1"/>
  <c r="D94" i="128"/>
  <c r="C13" i="129" s="1"/>
  <c r="E94" i="128"/>
  <c r="D13" i="129" s="1"/>
  <c r="F94" i="128"/>
  <c r="E13" i="129" s="1"/>
  <c r="C94" i="128"/>
  <c r="B13" i="129" s="1"/>
  <c r="I94" i="128"/>
  <c r="I13" i="129" s="1"/>
  <c r="I19" i="129" s="1"/>
  <c r="I24" i="129" s="1"/>
  <c r="I27" i="129" s="1"/>
  <c r="H94" i="128"/>
  <c r="H13" i="129" s="1"/>
  <c r="I101" i="128"/>
  <c r="I39" i="129" s="1"/>
  <c r="I45" i="129" s="1"/>
  <c r="I50" i="129" s="1"/>
  <c r="I53" i="129" s="1"/>
  <c r="H101" i="128"/>
  <c r="H39" i="129" s="1"/>
  <c r="D101" i="128"/>
  <c r="C39" i="129" s="1"/>
  <c r="C45" i="129" s="1"/>
  <c r="C50" i="129" s="1"/>
  <c r="C53" i="129" s="1"/>
  <c r="E101" i="128"/>
  <c r="D39" i="129" s="1"/>
  <c r="D45" i="129" s="1"/>
  <c r="D50" i="129" s="1"/>
  <c r="D53" i="129" s="1"/>
  <c r="F101" i="128"/>
  <c r="E39" i="129" s="1"/>
  <c r="E45" i="129" s="1"/>
  <c r="E50" i="129" s="1"/>
  <c r="E53" i="129" s="1"/>
  <c r="C101" i="128"/>
  <c r="B39" i="129" s="1"/>
  <c r="I18" i="133" l="1" a="1"/>
  <c r="I18" i="133" s="1"/>
  <c r="J17" i="133" a="1"/>
  <c r="J17" i="133" s="1"/>
  <c r="H45" i="129"/>
  <c r="J45" i="129" s="1"/>
  <c r="J39" i="129"/>
  <c r="B45" i="129"/>
  <c r="F45" i="129" s="1"/>
  <c r="F39" i="129"/>
  <c r="J13" i="129"/>
  <c r="F13" i="129"/>
  <c r="G101" i="128"/>
  <c r="J101" i="128"/>
  <c r="G94" i="128"/>
  <c r="J94" i="128"/>
  <c r="H4" i="131"/>
  <c r="E4" i="131"/>
  <c r="J18" i="133" l="1" a="1"/>
  <c r="J18" i="133" s="1"/>
  <c r="I19" i="133" a="1"/>
  <c r="I19" i="133" s="1"/>
  <c r="H50" i="129"/>
  <c r="J50" i="129" s="1"/>
  <c r="J53" i="129" s="1"/>
  <c r="B50" i="129"/>
  <c r="B53" i="129" s="1"/>
  <c r="K39" i="129"/>
  <c r="K13" i="129"/>
  <c r="H53" i="129"/>
  <c r="K45" i="129"/>
  <c r="C13" i="2"/>
  <c r="C9" i="2"/>
  <c r="I20" i="133" l="1" a="1"/>
  <c r="I20" i="133" s="1"/>
  <c r="J19" i="133" a="1"/>
  <c r="J19" i="133" s="1"/>
  <c r="F50" i="129"/>
  <c r="F53" i="129" s="1"/>
  <c r="K53" i="129" s="1"/>
  <c r="K55" i="129" s="1"/>
  <c r="G95" i="128"/>
  <c r="G96" i="128"/>
  <c r="J95" i="128"/>
  <c r="J96" i="128"/>
  <c r="J89" i="128"/>
  <c r="G89" i="128"/>
  <c r="I21" i="133" l="1" a="1"/>
  <c r="I21" i="133" s="1"/>
  <c r="J20" i="133" a="1"/>
  <c r="J20" i="133" s="1"/>
  <c r="K95" i="128"/>
  <c r="C6" i="132"/>
  <c r="C7" i="132"/>
  <c r="C8" i="132"/>
  <c r="C5" i="132"/>
  <c r="I22" i="133" l="1" a="1"/>
  <c r="I22" i="133" s="1"/>
  <c r="J21" i="133" a="1"/>
  <c r="J21" i="133" s="1"/>
  <c r="L13" i="117"/>
  <c r="J13" i="117"/>
  <c r="L12" i="117"/>
  <c r="J12" i="117"/>
  <c r="J9" i="117"/>
  <c r="I23" i="133" l="1" a="1"/>
  <c r="I23" i="133" s="1"/>
  <c r="J22" i="133" a="1"/>
  <c r="J22" i="133" s="1"/>
  <c r="F11" i="96"/>
  <c r="A1" i="117"/>
  <c r="C2" i="2"/>
  <c r="A1" i="80"/>
  <c r="A1" i="69"/>
  <c r="A1" i="64"/>
  <c r="A1" i="83"/>
  <c r="A1" i="125"/>
  <c r="A1" i="127"/>
  <c r="A1" i="126"/>
  <c r="M1" i="39"/>
  <c r="B1" i="4"/>
  <c r="A1" i="30"/>
  <c r="A1" i="41"/>
  <c r="A1" i="120"/>
  <c r="A1" i="121"/>
  <c r="A1" i="128"/>
  <c r="A1" i="96"/>
  <c r="A1" i="97"/>
  <c r="J9" i="96"/>
  <c r="H9" i="96"/>
  <c r="A9" i="96"/>
  <c r="J8" i="97"/>
  <c r="H8" i="97"/>
  <c r="A8" i="97"/>
  <c r="A7" i="97"/>
  <c r="J4" i="128"/>
  <c r="L4" i="129" s="1"/>
  <c r="H4" i="128"/>
  <c r="G4" i="128"/>
  <c r="I4" i="129" s="1"/>
  <c r="C4" i="128"/>
  <c r="J3" i="128"/>
  <c r="L3" i="129" s="1"/>
  <c r="H3" i="128"/>
  <c r="G3" i="128"/>
  <c r="I3" i="129" s="1"/>
  <c r="C3" i="128"/>
  <c r="L76" i="128"/>
  <c r="L67" i="128"/>
  <c r="K24" i="128"/>
  <c r="L24" i="128"/>
  <c r="J24" i="128"/>
  <c r="D24" i="128"/>
  <c r="E24" i="128"/>
  <c r="E78" i="128" s="1"/>
  <c r="F24" i="128"/>
  <c r="C24" i="128"/>
  <c r="C78" i="128" s="1"/>
  <c r="K68" i="121"/>
  <c r="K71" i="121" s="1"/>
  <c r="J68" i="121"/>
  <c r="J71" i="121" s="1"/>
  <c r="E68" i="121"/>
  <c r="E71" i="121" s="1"/>
  <c r="C68" i="121"/>
  <c r="C71" i="121" s="1"/>
  <c r="J69" i="120"/>
  <c r="J72" i="120" s="1"/>
  <c r="I69" i="120"/>
  <c r="I72" i="120" s="1"/>
  <c r="D69" i="120"/>
  <c r="D72" i="120" s="1"/>
  <c r="C69" i="120"/>
  <c r="C72" i="120" s="1"/>
  <c r="I3" i="121"/>
  <c r="H3" i="121"/>
  <c r="G3" i="121"/>
  <c r="I2" i="121"/>
  <c r="H2" i="121"/>
  <c r="G2" i="121"/>
  <c r="E2" i="121"/>
  <c r="H4" i="120"/>
  <c r="G4" i="120"/>
  <c r="F4" i="120"/>
  <c r="H3" i="120"/>
  <c r="G3" i="120"/>
  <c r="F3" i="120"/>
  <c r="D3" i="120"/>
  <c r="I3" i="127"/>
  <c r="H3" i="127"/>
  <c r="G3" i="127"/>
  <c r="I2" i="127"/>
  <c r="H2" i="127"/>
  <c r="G2" i="127"/>
  <c r="E2" i="127"/>
  <c r="G3" i="126"/>
  <c r="F3" i="126"/>
  <c r="E3" i="126"/>
  <c r="G2" i="126"/>
  <c r="F2" i="126"/>
  <c r="E2" i="126"/>
  <c r="C2" i="126"/>
  <c r="G3" i="125"/>
  <c r="F3" i="125"/>
  <c r="E3" i="125"/>
  <c r="G2" i="125"/>
  <c r="F2" i="125"/>
  <c r="E2" i="125"/>
  <c r="C2" i="125"/>
  <c r="I24" i="133" l="1" a="1"/>
  <c r="I24" i="133" s="1"/>
  <c r="J24" i="133" s="1" a="1"/>
  <c r="J24" i="133" s="1"/>
  <c r="J23" i="133" a="1"/>
  <c r="J23" i="133" s="1"/>
  <c r="L78" i="128"/>
  <c r="M58" i="121"/>
  <c r="F78" i="128"/>
  <c r="J104" i="128"/>
  <c r="D78" i="128"/>
  <c r="G104" i="128"/>
  <c r="K78" i="128"/>
  <c r="J106" i="128"/>
  <c r="J78" i="128"/>
  <c r="G106" i="128"/>
  <c r="D23" i="132"/>
  <c r="D24" i="132" s="1"/>
  <c r="D25" i="132" s="1"/>
  <c r="D14" i="132"/>
  <c r="D15" i="132" s="1"/>
  <c r="D16" i="132" s="1"/>
  <c r="D17" i="132" s="1"/>
  <c r="D18" i="132" s="1"/>
  <c r="D84" i="128" l="1"/>
  <c r="C84" i="128"/>
  <c r="E84" i="128"/>
  <c r="F84" i="128"/>
  <c r="I84" i="128"/>
  <c r="H84" i="128"/>
  <c r="E23" i="132"/>
  <c r="M29" i="128"/>
  <c r="M67" i="128" s="1"/>
  <c r="G29" i="128"/>
  <c r="G67" i="128" s="1"/>
  <c r="M9" i="128"/>
  <c r="M24" i="128" s="1"/>
  <c r="G9" i="128"/>
  <c r="G24" i="128" s="1"/>
  <c r="E14" i="132"/>
  <c r="D37" i="129" l="1"/>
  <c r="D11" i="129"/>
  <c r="H37" i="129"/>
  <c r="H11" i="129"/>
  <c r="B37" i="129"/>
  <c r="B11" i="129"/>
  <c r="E37" i="129"/>
  <c r="E11" i="129"/>
  <c r="I37" i="129"/>
  <c r="I11" i="129"/>
  <c r="C37" i="129"/>
  <c r="C11" i="129"/>
  <c r="G78" i="128"/>
  <c r="M78" i="128"/>
  <c r="U9" i="126"/>
  <c r="P9" i="126"/>
  <c r="J9" i="126"/>
  <c r="G4" i="131"/>
  <c r="F4" i="131"/>
  <c r="D4" i="131"/>
  <c r="J86" i="128"/>
  <c r="G86" i="128"/>
  <c r="M30" i="127"/>
  <c r="L30" i="127"/>
  <c r="G30" i="127"/>
  <c r="F30" i="127"/>
  <c r="M29" i="127"/>
  <c r="L29" i="127"/>
  <c r="G29" i="127"/>
  <c r="F29" i="127"/>
  <c r="K28" i="127"/>
  <c r="J28" i="127"/>
  <c r="E28" i="127"/>
  <c r="D28" i="127"/>
  <c r="J23" i="127"/>
  <c r="D23" i="127"/>
  <c r="M15" i="127"/>
  <c r="L15" i="127"/>
  <c r="G15" i="127"/>
  <c r="F15" i="127"/>
  <c r="M14" i="127"/>
  <c r="L14" i="127"/>
  <c r="G14" i="127"/>
  <c r="F14" i="127"/>
  <c r="K13" i="127"/>
  <c r="J13" i="127"/>
  <c r="E13" i="127"/>
  <c r="D13" i="127"/>
  <c r="F13" i="127" s="1"/>
  <c r="K10" i="127"/>
  <c r="L10" i="127" s="1"/>
  <c r="E10" i="127"/>
  <c r="G10" i="127" s="1"/>
  <c r="J8" i="127"/>
  <c r="D8" i="127"/>
  <c r="I111" i="126"/>
  <c r="F111" i="126"/>
  <c r="E111" i="126"/>
  <c r="D111" i="126"/>
  <c r="C111" i="126"/>
  <c r="B111" i="126"/>
  <c r="P110" i="126"/>
  <c r="D52" i="125"/>
  <c r="D35" i="131" s="1"/>
  <c r="J51" i="125"/>
  <c r="G51" i="125"/>
  <c r="G34" i="131" s="1"/>
  <c r="F51" i="125"/>
  <c r="F34" i="131" s="1"/>
  <c r="D51" i="125"/>
  <c r="D34" i="131" s="1"/>
  <c r="C51" i="125"/>
  <c r="C34" i="131" s="1"/>
  <c r="J50" i="125"/>
  <c r="G50" i="125"/>
  <c r="G33" i="131" s="1"/>
  <c r="F50" i="125"/>
  <c r="F33" i="131" s="1"/>
  <c r="D50" i="125"/>
  <c r="D33" i="131" s="1"/>
  <c r="C50" i="125"/>
  <c r="C33" i="131" s="1"/>
  <c r="J44" i="125"/>
  <c r="G44" i="125"/>
  <c r="G31" i="131" s="1"/>
  <c r="F44" i="125"/>
  <c r="F31" i="131" s="1"/>
  <c r="D44" i="125"/>
  <c r="D31" i="131" s="1"/>
  <c r="C44" i="125"/>
  <c r="C31" i="131" s="1"/>
  <c r="H43" i="125"/>
  <c r="H42" i="125"/>
  <c r="H39" i="125"/>
  <c r="L43" i="129" s="1"/>
  <c r="H38" i="125"/>
  <c r="L41" i="129" s="1"/>
  <c r="H37" i="125"/>
  <c r="K37" i="125" s="1"/>
  <c r="F32" i="125"/>
  <c r="F24" i="131" s="1"/>
  <c r="C32" i="125"/>
  <c r="C24" i="131" s="1"/>
  <c r="H27" i="125"/>
  <c r="K27" i="125" s="1"/>
  <c r="H26" i="125"/>
  <c r="K26" i="125" s="1"/>
  <c r="H25" i="125"/>
  <c r="K25" i="125" s="1"/>
  <c r="H24" i="125"/>
  <c r="K24" i="125" s="1"/>
  <c r="G22" i="125"/>
  <c r="G16" i="131" s="1"/>
  <c r="H21" i="125"/>
  <c r="K21" i="125" s="1"/>
  <c r="H20" i="125"/>
  <c r="E25" i="127" s="1"/>
  <c r="K25" i="127" s="1"/>
  <c r="L25" i="127" s="1"/>
  <c r="J19" i="125"/>
  <c r="J22" i="125" s="1"/>
  <c r="F19" i="125"/>
  <c r="F13" i="131" s="1"/>
  <c r="D19" i="125"/>
  <c r="C19" i="125"/>
  <c r="H18" i="125"/>
  <c r="K18" i="125" s="1"/>
  <c r="J15" i="125"/>
  <c r="G15" i="125"/>
  <c r="G11" i="131" s="1"/>
  <c r="F15" i="125"/>
  <c r="F11" i="131" s="1"/>
  <c r="D15" i="125"/>
  <c r="D11" i="131" s="1"/>
  <c r="C15" i="125"/>
  <c r="C11" i="131" s="1"/>
  <c r="H14" i="125"/>
  <c r="K14" i="125" s="1"/>
  <c r="H13" i="125"/>
  <c r="K13" i="125" s="1"/>
  <c r="H12" i="125"/>
  <c r="K12" i="125" s="1"/>
  <c r="H11" i="125"/>
  <c r="K11" i="125" s="1"/>
  <c r="H10" i="125"/>
  <c r="K10" i="125" s="1"/>
  <c r="H7" i="125"/>
  <c r="C22" i="125" l="1"/>
  <c r="C16" i="131" s="1"/>
  <c r="C13" i="131"/>
  <c r="E9" i="127"/>
  <c r="D13" i="131"/>
  <c r="G30" i="125"/>
  <c r="G22" i="131" s="1"/>
  <c r="H50" i="125"/>
  <c r="K50" i="125" s="1"/>
  <c r="C53" i="125"/>
  <c r="H44" i="125"/>
  <c r="L58" i="134"/>
  <c r="H51" i="125"/>
  <c r="K51" i="125" s="1"/>
  <c r="K15" i="125"/>
  <c r="K43" i="125"/>
  <c r="L116" i="134"/>
  <c r="F10" i="127"/>
  <c r="F53" i="125"/>
  <c r="F36" i="131" s="1"/>
  <c r="K9" i="127"/>
  <c r="M9" i="127" s="1"/>
  <c r="D22" i="125"/>
  <c r="J30" i="125"/>
  <c r="J32" i="125" s="1"/>
  <c r="H19" i="125"/>
  <c r="K19" i="125" s="1"/>
  <c r="M10" i="127"/>
  <c r="K39" i="125"/>
  <c r="M28" i="127"/>
  <c r="L28" i="127"/>
  <c r="G28" i="127"/>
  <c r="F28" i="127"/>
  <c r="L13" i="127"/>
  <c r="G13" i="127"/>
  <c r="M13" i="127"/>
  <c r="G31" i="125"/>
  <c r="G23" i="131" s="1"/>
  <c r="K86" i="128"/>
  <c r="G9" i="127"/>
  <c r="F9" i="127"/>
  <c r="E8" i="127"/>
  <c r="G8" i="127" s="1"/>
  <c r="H15" i="125"/>
  <c r="J111" i="126"/>
  <c r="K7" i="125"/>
  <c r="F22" i="125"/>
  <c r="F16" i="131" s="1"/>
  <c r="K38" i="125"/>
  <c r="K42" i="125"/>
  <c r="M25" i="127"/>
  <c r="F25" i="127"/>
  <c r="K20" i="125"/>
  <c r="G25" i="127"/>
  <c r="L31" i="121"/>
  <c r="L58" i="121" s="1"/>
  <c r="D53" i="125" l="1"/>
  <c r="D36" i="131" s="1"/>
  <c r="C36" i="131"/>
  <c r="D30" i="125"/>
  <c r="D22" i="131" s="1"/>
  <c r="D16" i="131"/>
  <c r="F8" i="127"/>
  <c r="K8" i="127"/>
  <c r="M8" i="127" s="1"/>
  <c r="H22" i="125"/>
  <c r="H30" i="125" s="1"/>
  <c r="K44" i="125"/>
  <c r="L9" i="127"/>
  <c r="E24" i="127"/>
  <c r="G24" i="127" s="1"/>
  <c r="G32" i="125"/>
  <c r="K22" i="125"/>
  <c r="K30" i="125" s="1"/>
  <c r="K101" i="128"/>
  <c r="K94" i="128"/>
  <c r="D32" i="125" l="1"/>
  <c r="E23" i="131" s="1"/>
  <c r="H49" i="125"/>
  <c r="G52" i="125" s="1"/>
  <c r="G24" i="131"/>
  <c r="K24" i="127"/>
  <c r="M24" i="127" s="1"/>
  <c r="L8" i="127"/>
  <c r="E23" i="127"/>
  <c r="G23" i="127" s="1"/>
  <c r="K49" i="125"/>
  <c r="F24" i="127"/>
  <c r="P111" i="126"/>
  <c r="H31" i="125"/>
  <c r="K31" i="125" s="1"/>
  <c r="D63" i="121"/>
  <c r="D68" i="121" s="1"/>
  <c r="G68" i="121" s="1"/>
  <c r="D31" i="121"/>
  <c r="D58" i="121" s="1"/>
  <c r="D22" i="121"/>
  <c r="D26" i="121" s="1"/>
  <c r="H52" i="125" l="1"/>
  <c r="G35" i="131"/>
  <c r="D24" i="131"/>
  <c r="B14" i="129"/>
  <c r="F23" i="127"/>
  <c r="L24" i="127"/>
  <c r="K23" i="127"/>
  <c r="M23" i="127" s="1"/>
  <c r="D71" i="121"/>
  <c r="G58" i="121"/>
  <c r="G26" i="121"/>
  <c r="K32" i="125"/>
  <c r="H32" i="125"/>
  <c r="B40" i="129" s="1"/>
  <c r="K50" i="129" s="1"/>
  <c r="V40" i="39"/>
  <c r="D26" i="117"/>
  <c r="H53" i="125" l="1"/>
  <c r="K52" i="125"/>
  <c r="K53" i="125" s="1"/>
  <c r="C19" i="129"/>
  <c r="C24" i="129" s="1"/>
  <c r="C27" i="129" s="1"/>
  <c r="B19" i="129"/>
  <c r="L23" i="127"/>
  <c r="N77" i="39"/>
  <c r="N76" i="39"/>
  <c r="B24" i="129" l="1"/>
  <c r="D19" i="129" s="1"/>
  <c r="D24" i="129" s="1"/>
  <c r="D27" i="129" s="1"/>
  <c r="G41" i="41"/>
  <c r="F41" i="41"/>
  <c r="B76" i="30"/>
  <c r="B75" i="30"/>
  <c r="B74" i="30"/>
  <c r="N75" i="39"/>
  <c r="L63" i="121"/>
  <c r="L68" i="121" s="1"/>
  <c r="F63" i="121"/>
  <c r="F68" i="121" s="1"/>
  <c r="G63" i="121"/>
  <c r="G31" i="121"/>
  <c r="G22" i="121"/>
  <c r="F31" i="121"/>
  <c r="F58" i="121" s="1"/>
  <c r="L22" i="121"/>
  <c r="L26" i="121" s="1"/>
  <c r="F22" i="121"/>
  <c r="F26" i="121" s="1"/>
  <c r="E23" i="120"/>
  <c r="E27" i="120" s="1"/>
  <c r="K64" i="120"/>
  <c r="K69" i="120" s="1"/>
  <c r="E64" i="120"/>
  <c r="E69" i="120" s="1"/>
  <c r="F69" i="120"/>
  <c r="K32" i="120"/>
  <c r="K59" i="120" s="1"/>
  <c r="E32" i="120"/>
  <c r="E59" i="120" s="1"/>
  <c r="K23" i="120"/>
  <c r="K27" i="120" s="1"/>
  <c r="F10" i="41"/>
  <c r="G10" i="41"/>
  <c r="J7" i="96"/>
  <c r="H7" i="96"/>
  <c r="J6" i="97"/>
  <c r="H6" i="97"/>
  <c r="L9" i="117"/>
  <c r="N7" i="83"/>
  <c r="K7" i="83"/>
  <c r="P10" i="64"/>
  <c r="R10" i="64" s="1"/>
  <c r="O13" i="2"/>
  <c r="V13" i="2"/>
  <c r="V9" i="2"/>
  <c r="O9" i="2"/>
  <c r="R7" i="69"/>
  <c r="M7" i="69"/>
  <c r="V10" i="64"/>
  <c r="X10" i="64" s="1"/>
  <c r="J36" i="4"/>
  <c r="V36" i="39"/>
  <c r="V37" i="39"/>
  <c r="V38" i="39"/>
  <c r="V39" i="39"/>
  <c r="V41" i="39"/>
  <c r="Q36" i="39"/>
  <c r="Q37" i="39"/>
  <c r="Q38" i="39"/>
  <c r="Q39" i="39"/>
  <c r="Q40" i="39"/>
  <c r="Q41" i="39"/>
  <c r="AB10" i="64"/>
  <c r="AA10" i="64"/>
  <c r="F9" i="97"/>
  <c r="J7" i="97"/>
  <c r="H7" i="97"/>
  <c r="F5" i="97"/>
  <c r="F10" i="96"/>
  <c r="J8" i="96"/>
  <c r="H8" i="96"/>
  <c r="F6" i="96"/>
  <c r="F23" i="120"/>
  <c r="F32" i="120"/>
  <c r="F64" i="120"/>
  <c r="M31" i="121"/>
  <c r="L23" i="120"/>
  <c r="L32" i="120"/>
  <c r="L64" i="120"/>
  <c r="M26" i="121"/>
  <c r="M22" i="121"/>
  <c r="M63" i="121"/>
  <c r="L69" i="120"/>
  <c r="L27" i="120"/>
  <c r="M68" i="121"/>
  <c r="R45" i="83"/>
  <c r="N45" i="83"/>
  <c r="K45" i="83"/>
  <c r="R44" i="83"/>
  <c r="N44" i="83"/>
  <c r="K44" i="83"/>
  <c r="R43" i="83"/>
  <c r="N43" i="83"/>
  <c r="K43" i="83"/>
  <c r="R42" i="83"/>
  <c r="N42" i="83"/>
  <c r="K42" i="83"/>
  <c r="R41" i="83"/>
  <c r="N41" i="83"/>
  <c r="K41" i="83"/>
  <c r="R40" i="83"/>
  <c r="N40" i="83"/>
  <c r="K40" i="83"/>
  <c r="R39" i="83"/>
  <c r="N39" i="83"/>
  <c r="K39" i="83"/>
  <c r="R38" i="83"/>
  <c r="N38" i="83"/>
  <c r="K38" i="83"/>
  <c r="R37" i="83"/>
  <c r="N37" i="83"/>
  <c r="K37" i="83"/>
  <c r="R36" i="83"/>
  <c r="N36" i="83"/>
  <c r="K36" i="83"/>
  <c r="R35" i="83"/>
  <c r="N35" i="83"/>
  <c r="K35" i="83"/>
  <c r="R34" i="83"/>
  <c r="N34" i="83"/>
  <c r="K34" i="83"/>
  <c r="R33" i="83"/>
  <c r="N33" i="83"/>
  <c r="K33" i="83"/>
  <c r="R32" i="83"/>
  <c r="N32" i="83"/>
  <c r="K32" i="83"/>
  <c r="R31" i="83"/>
  <c r="N31" i="83"/>
  <c r="K31" i="83"/>
  <c r="R9" i="83"/>
  <c r="R10" i="83"/>
  <c r="R11" i="83"/>
  <c r="R12" i="83"/>
  <c r="R13" i="83"/>
  <c r="R14" i="83"/>
  <c r="R15" i="83"/>
  <c r="R20" i="83"/>
  <c r="R21" i="83"/>
  <c r="R22" i="83"/>
  <c r="R23" i="83"/>
  <c r="R24" i="83"/>
  <c r="R25" i="83"/>
  <c r="R26" i="83"/>
  <c r="R27" i="83"/>
  <c r="R28" i="83"/>
  <c r="R29" i="83"/>
  <c r="R30" i="83"/>
  <c r="R7" i="83"/>
  <c r="N9" i="83"/>
  <c r="N10" i="83"/>
  <c r="N11" i="83"/>
  <c r="N12" i="83"/>
  <c r="N13" i="83"/>
  <c r="N14" i="83"/>
  <c r="N15" i="83"/>
  <c r="N20" i="83"/>
  <c r="N21" i="83"/>
  <c r="N22" i="83"/>
  <c r="N23" i="83"/>
  <c r="N24" i="83"/>
  <c r="N25" i="83"/>
  <c r="N26" i="83"/>
  <c r="N27" i="83"/>
  <c r="N28" i="83"/>
  <c r="N29" i="83"/>
  <c r="N30" i="83"/>
  <c r="K9" i="83"/>
  <c r="K10" i="83"/>
  <c r="K11" i="83"/>
  <c r="K12" i="83"/>
  <c r="K13" i="83"/>
  <c r="K14" i="83"/>
  <c r="K15" i="83"/>
  <c r="K16" i="83"/>
  <c r="K17" i="83"/>
  <c r="K18" i="83"/>
  <c r="K19" i="83"/>
  <c r="K20" i="83"/>
  <c r="K21" i="83"/>
  <c r="K22" i="83"/>
  <c r="K23" i="83"/>
  <c r="K24" i="83"/>
  <c r="K25" i="83"/>
  <c r="K26" i="83"/>
  <c r="K27" i="83"/>
  <c r="K28" i="83"/>
  <c r="K29" i="83"/>
  <c r="K30" i="83"/>
  <c r="O29" i="39"/>
  <c r="N74" i="39" s="1"/>
  <c r="J10" i="4"/>
  <c r="O9" i="80"/>
  <c r="O7" i="80"/>
  <c r="U7" i="69"/>
  <c r="U42" i="39"/>
  <c r="T42" i="39"/>
  <c r="P42" i="39"/>
  <c r="O42" i="39"/>
  <c r="D7" i="69"/>
  <c r="A61" i="80"/>
  <c r="A65" i="80"/>
  <c r="A63" i="80"/>
  <c r="A62" i="80"/>
  <c r="A64" i="80"/>
  <c r="V35" i="39"/>
  <c r="Q35" i="39"/>
  <c r="B4" i="64"/>
  <c r="A185" i="80"/>
  <c r="A183" i="80"/>
  <c r="A181" i="80"/>
  <c r="A179" i="80"/>
  <c r="A177" i="80"/>
  <c r="A175" i="80"/>
  <c r="A173" i="80"/>
  <c r="A171" i="80"/>
  <c r="A169" i="80"/>
  <c r="A167" i="80"/>
  <c r="A165" i="80"/>
  <c r="A163" i="80"/>
  <c r="A161" i="80"/>
  <c r="A159" i="80"/>
  <c r="A157" i="80"/>
  <c r="A155" i="80"/>
  <c r="A153" i="80"/>
  <c r="A151" i="80"/>
  <c r="A149" i="80"/>
  <c r="A147" i="80"/>
  <c r="A145" i="80"/>
  <c r="A143" i="80"/>
  <c r="A141" i="80"/>
  <c r="A139" i="80"/>
  <c r="A137" i="80"/>
  <c r="A135" i="80"/>
  <c r="A133" i="80"/>
  <c r="A131" i="80"/>
  <c r="A129" i="80"/>
  <c r="A127" i="80"/>
  <c r="A125" i="80"/>
  <c r="A123" i="80"/>
  <c r="A121" i="80"/>
  <c r="A119" i="80"/>
  <c r="A117" i="80"/>
  <c r="A115" i="80"/>
  <c r="A113" i="80"/>
  <c r="A111" i="80"/>
  <c r="A109" i="80"/>
  <c r="A107" i="80"/>
  <c r="A105" i="80"/>
  <c r="A103" i="80"/>
  <c r="A101" i="80"/>
  <c r="A99" i="80"/>
  <c r="A97" i="80"/>
  <c r="A95" i="80"/>
  <c r="A184" i="80"/>
  <c r="A182" i="80"/>
  <c r="A180" i="80"/>
  <c r="A178" i="80"/>
  <c r="A176" i="80"/>
  <c r="A174" i="80"/>
  <c r="A172" i="80"/>
  <c r="A170" i="80"/>
  <c r="A168" i="80"/>
  <c r="A166" i="80"/>
  <c r="A164" i="80"/>
  <c r="A162" i="80"/>
  <c r="A160" i="80"/>
  <c r="A158" i="80"/>
  <c r="A156" i="80"/>
  <c r="A154" i="80"/>
  <c r="A152" i="80"/>
  <c r="A150" i="80"/>
  <c r="A148" i="80"/>
  <c r="A146" i="80"/>
  <c r="A144" i="80"/>
  <c r="A142" i="80"/>
  <c r="A140" i="80"/>
  <c r="A138" i="80"/>
  <c r="A136" i="80"/>
  <c r="A134" i="80"/>
  <c r="A132" i="80"/>
  <c r="A130" i="80"/>
  <c r="A128" i="80"/>
  <c r="A126" i="80"/>
  <c r="A124" i="80"/>
  <c r="A122" i="80"/>
  <c r="A120" i="80"/>
  <c r="A118" i="80"/>
  <c r="A116" i="80"/>
  <c r="A114" i="80"/>
  <c r="A112" i="80"/>
  <c r="A110" i="80"/>
  <c r="A108" i="80"/>
  <c r="A106" i="80"/>
  <c r="A104" i="80"/>
  <c r="A102" i="80"/>
  <c r="A100" i="80"/>
  <c r="A98" i="80"/>
  <c r="A96" i="80"/>
  <c r="A94" i="80"/>
  <c r="A93" i="80"/>
  <c r="A89" i="80"/>
  <c r="A85" i="80"/>
  <c r="A81" i="80"/>
  <c r="A77" i="80"/>
  <c r="A73" i="80"/>
  <c r="A69" i="80"/>
  <c r="A91" i="80"/>
  <c r="A87" i="80"/>
  <c r="A83" i="80"/>
  <c r="A79" i="80"/>
  <c r="A75" i="80"/>
  <c r="A71" i="80"/>
  <c r="A67" i="80"/>
  <c r="A90" i="80"/>
  <c r="A86" i="80"/>
  <c r="A82" i="80"/>
  <c r="A78" i="80"/>
  <c r="A74" i="80"/>
  <c r="A70" i="80"/>
  <c r="A66" i="80"/>
  <c r="A92" i="80"/>
  <c r="A88" i="80"/>
  <c r="A84" i="80"/>
  <c r="A80" i="80"/>
  <c r="A76" i="80"/>
  <c r="A72" i="80"/>
  <c r="A68" i="80"/>
  <c r="A2" i="83"/>
  <c r="F27" i="120"/>
  <c r="B27" i="129" l="1"/>
  <c r="E19" i="129"/>
  <c r="Q42" i="39"/>
  <c r="V42" i="39"/>
  <c r="AC10" i="64"/>
  <c r="AD10" i="64"/>
  <c r="J3" i="127"/>
  <c r="J2" i="127"/>
  <c r="H3" i="126"/>
  <c r="H2" i="126"/>
  <c r="J3" i="121"/>
  <c r="J2" i="121"/>
  <c r="H3" i="125"/>
  <c r="H2" i="125"/>
  <c r="I4" i="120"/>
  <c r="I3" i="120"/>
  <c r="E24" i="129" l="1"/>
  <c r="F19" i="129"/>
  <c r="F59" i="120"/>
  <c r="E27" i="129" l="1"/>
  <c r="H19" i="129"/>
  <c r="F24" i="129"/>
  <c r="J19" i="129" l="1"/>
  <c r="K19" i="129" s="1"/>
  <c r="F10" i="97" s="1"/>
  <c r="H24" i="129"/>
  <c r="F27" i="129"/>
  <c r="J24" i="129" l="1"/>
  <c r="H27" i="129"/>
  <c r="J27" i="129" l="1"/>
  <c r="K27" i="129" s="1"/>
  <c r="K29" i="129" s="1"/>
  <c r="K24" i="129"/>
</calcChain>
</file>

<file path=xl/sharedStrings.xml><?xml version="1.0" encoding="utf-8"?>
<sst xmlns="http://schemas.openxmlformats.org/spreadsheetml/2006/main" count="3992" uniqueCount="1724">
  <si>
    <t>Status</t>
  </si>
  <si>
    <t xml:space="preserve">LFA Comments/Analysis </t>
  </si>
  <si>
    <t>1. Anti-malaria medicines</t>
  </si>
  <si>
    <t>4. Condoms</t>
  </si>
  <si>
    <t>5. Anti-retrovirals</t>
  </si>
  <si>
    <t>Yes</t>
  </si>
  <si>
    <t>No</t>
  </si>
  <si>
    <t>Program management (including SR management)</t>
  </si>
  <si>
    <t>Financial management and systems</t>
  </si>
  <si>
    <t>Monitoring and evaluation</t>
  </si>
  <si>
    <t>Pharmaceutical &amp; health product management</t>
  </si>
  <si>
    <t>Other management issues, including: PR capacity to develop quality programmatic and financial reports</t>
  </si>
  <si>
    <t>2. Bed nets</t>
  </si>
  <si>
    <t>Verified Result</t>
  </si>
  <si>
    <t>- used to convert Total PR Cash Outflow for the Progress Update Period</t>
  </si>
  <si>
    <t>Rates used by the PR</t>
  </si>
  <si>
    <t>LFA-verified rates</t>
  </si>
  <si>
    <t>Cumulative Budget through period of Progress Update</t>
  </si>
  <si>
    <t>Country:</t>
  </si>
  <si>
    <t xml:space="preserve">LFA comments on (a) verified result, (b) source of information used by the PR to report results, including the status of completion of surveys and other methods to measure Impact/Outcome, as applicable,  </t>
  </si>
  <si>
    <t>Current Reporting Period</t>
  </si>
  <si>
    <t>Category</t>
  </si>
  <si>
    <t>Cumulative Budget</t>
  </si>
  <si>
    <t>-</t>
  </si>
  <si>
    <t>Verification Method</t>
  </si>
  <si>
    <t>GENERAL GRANT INFORMATION</t>
  </si>
  <si>
    <t>Required Documentation</t>
  </si>
  <si>
    <t>Comments</t>
  </si>
  <si>
    <t>- used to convert Closing Cash Balance</t>
  </si>
  <si>
    <t>LFA Comments</t>
  </si>
  <si>
    <t>Report Due Date</t>
  </si>
  <si>
    <t>Comments on results on Impact/Outcome indicators and data sources, and any other comments</t>
  </si>
  <si>
    <t>PR's response</t>
  </si>
  <si>
    <t>LFA's response</t>
  </si>
  <si>
    <t>Reporting Currency</t>
  </si>
  <si>
    <t>PQR Product Categories</t>
  </si>
  <si>
    <t xml:space="preserve">DISBURSEMENT REQUEST </t>
  </si>
  <si>
    <t>Principal Recipient:</t>
  </si>
  <si>
    <t>Currency:</t>
  </si>
  <si>
    <t>Beginning Date:</t>
  </si>
  <si>
    <t>Budget for Reporting Period</t>
  </si>
  <si>
    <t>Variance</t>
  </si>
  <si>
    <t>Reason for Variance</t>
  </si>
  <si>
    <t xml:space="preserve">    1b. Disbursements to sub-recipients</t>
  </si>
  <si>
    <t>Less:</t>
  </si>
  <si>
    <t>Signed on behalf of the Principal Recipient:
(signature of Authorized Designated Representative)</t>
  </si>
  <si>
    <t>Select</t>
  </si>
  <si>
    <t>End Date:</t>
  </si>
  <si>
    <t>Name:</t>
  </si>
  <si>
    <t>Title:</t>
  </si>
  <si>
    <t>Date and Place:</t>
  </si>
  <si>
    <t>Program Start Date:</t>
  </si>
  <si>
    <t>Disbursement Request  - Period Covered:</t>
  </si>
  <si>
    <t xml:space="preserve">Impact / Outcome </t>
  </si>
  <si>
    <t>B.  Planned Changes in the Program, if any</t>
  </si>
  <si>
    <t>C.  External factors beyond the control of the Principal Recipient that have impacted or may impact the Program</t>
  </si>
  <si>
    <t>C.  LFA Comments on External Factors Beyond Control of the Principal Recipients that have impacted or may impact program</t>
  </si>
  <si>
    <t>PR Comments on Progress of Implementation</t>
  </si>
  <si>
    <t>Baseline 
(if applicable)</t>
  </si>
  <si>
    <t>Year of Target</t>
  </si>
  <si>
    <t>Total</t>
  </si>
  <si>
    <t xml:space="preserve">Targets cumulative?
</t>
  </si>
  <si>
    <t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t>
  </si>
  <si>
    <t>Value of  products received during reporting period</t>
  </si>
  <si>
    <t>Indicator rating</t>
  </si>
  <si>
    <t>Any major management issues resulting in downgrade?</t>
  </si>
  <si>
    <t>Overall Grant Rating</t>
  </si>
  <si>
    <t xml:space="preserve">Name of local currency, date and source of the exchange rate, and other comments (if appropriate) </t>
  </si>
  <si>
    <t>Value of products entered by the PR and verified as correct by the LFA in the PQR during reporting period</t>
  </si>
  <si>
    <t>Module</t>
  </si>
  <si>
    <t>Principal Recipient</t>
  </si>
  <si>
    <t>As verified by LFA</t>
  </si>
  <si>
    <t>The Global Fund Validated Figures</t>
  </si>
  <si>
    <t>Cash Balance: Beginning of the Period</t>
  </si>
  <si>
    <t xml:space="preserve">Add: </t>
  </si>
  <si>
    <t>Interest received on bank accounts</t>
  </si>
  <si>
    <t>Revenue from income-generating activities (if applicable)</t>
  </si>
  <si>
    <t>Other income, if applicable (e.g. VAT/Other Tax returns, income from disposal of assets etc.)</t>
  </si>
  <si>
    <t>Other reconciliation adjustments (including for prior periods)</t>
  </si>
  <si>
    <t>Net exchange gains/losses on translation of balances</t>
  </si>
  <si>
    <t>Cash in Transit for the reporting period</t>
  </si>
  <si>
    <t>Cash in Transit after the current reporting period</t>
  </si>
  <si>
    <t>* Includes interest income, income generating activites etc.</t>
  </si>
  <si>
    <t>Budget Vs Actual Variances</t>
  </si>
  <si>
    <t>Absorption Capacity</t>
  </si>
  <si>
    <t>Explanation of Variances (mandatory for all percentages below 95% &amp; above 105%</t>
  </si>
  <si>
    <t>Grand Total</t>
  </si>
  <si>
    <t>Costing Dimension (Cost Grouping)</t>
  </si>
  <si>
    <t>Modular Approach - Interventions</t>
  </si>
  <si>
    <t xml:space="preserve">Validation of Grand Total </t>
  </si>
  <si>
    <t>Impact/Outcome</t>
  </si>
  <si>
    <t>Target</t>
  </si>
  <si>
    <t>Results</t>
  </si>
  <si>
    <t>Disaggregation</t>
  </si>
  <si>
    <t>Total for the Reporting Period</t>
  </si>
  <si>
    <t>N#</t>
  </si>
  <si>
    <t>D#</t>
  </si>
  <si>
    <t>%</t>
  </si>
  <si>
    <t>Verified Results</t>
  </si>
  <si>
    <t>Baseline</t>
  </si>
  <si>
    <t>Section 4:  Grant Management</t>
  </si>
  <si>
    <t>For the Global Fund Use Only</t>
  </si>
  <si>
    <t>For LFA Use Only</t>
  </si>
  <si>
    <t>3. LFA analysis of issues related to the procurement and supply management of pharmaceuticals and health products</t>
  </si>
  <si>
    <r>
      <t xml:space="preserve">! </t>
    </r>
    <r>
      <rPr>
        <sz val="13"/>
        <rFont val="Georgia"/>
        <family val="1"/>
      </rPr>
      <t>Please indicate a date for the report due for submission.  If a report is overdue, indicate the original due date and explain the reason for delay.</t>
    </r>
  </si>
  <si>
    <r>
      <t xml:space="preserve">! </t>
    </r>
    <r>
      <rPr>
        <sz val="11"/>
        <color indexed="53"/>
        <rFont val="Georgia"/>
        <family val="1"/>
      </rPr>
      <t xml:space="preserve"> </t>
    </r>
    <r>
      <rPr>
        <sz val="11"/>
        <rFont val="Georgia"/>
        <family val="1"/>
      </rPr>
      <t>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t>
    </r>
    <r>
      <rPr>
        <b/>
        <sz val="11"/>
        <color indexed="12"/>
        <rFont val="Arial"/>
        <family val="2"/>
      </rPr>
      <t/>
    </r>
  </si>
  <si>
    <t>A. LFA  Overall Evaluation and Rating of Grant Performance (including a summary of how financial performance is linked to programmatic achievements)</t>
  </si>
  <si>
    <r>
      <rPr>
        <b/>
        <sz val="14"/>
        <color indexed="12"/>
        <rFont val="Georgia"/>
        <family val="1"/>
      </rPr>
      <t>!</t>
    </r>
    <r>
      <rPr>
        <sz val="14"/>
        <rFont val="Georgia"/>
        <family val="1"/>
      </rPr>
      <t xml:space="preserve"> Based on the information provided in the previous sections and your understanding of the grant, please summarise any </t>
    </r>
    <r>
      <rPr>
        <u/>
        <sz val="14"/>
        <rFont val="Georgia"/>
        <family val="1"/>
      </rPr>
      <t>important</t>
    </r>
    <r>
      <rPr>
        <sz val="14"/>
        <rFont val="Georgia"/>
        <family val="1"/>
      </rPr>
      <t xml:space="preserve"> management issues, proposing a recommendation for each.
</t>
    </r>
    <r>
      <rPr>
        <b/>
        <sz val="14"/>
        <color indexed="12"/>
        <rFont val="Georgia"/>
        <family val="1"/>
      </rPr>
      <t xml:space="preserve">NB: an issue is considered as 'important' if it impacts or is likely to impact program implementation and results.  </t>
    </r>
    <r>
      <rPr>
        <b/>
        <sz val="14"/>
        <rFont val="Georgia"/>
        <family val="1"/>
      </rPr>
      <t xml:space="preserve">  </t>
    </r>
    <r>
      <rPr>
        <sz val="14"/>
        <rFont val="Georgia"/>
        <family val="1"/>
      </rPr>
      <t xml:space="preserve">                                                                                                                                                                                                      </t>
    </r>
    <r>
      <rPr>
        <sz val="14"/>
        <color indexed="12"/>
        <rFont val="Georgia"/>
        <family val="1"/>
      </rPr>
      <t xml:space="preserve">! </t>
    </r>
    <r>
      <rPr>
        <sz val="14"/>
        <rFont val="Georgia"/>
        <family val="1"/>
      </rPr>
      <t>Instead of repeating detailed descriptions of issues covered in other sections, it is acceptable to state the issue and reference the section containing the details.</t>
    </r>
  </si>
  <si>
    <t xml:space="preserve">Section 6: LFA Findings &amp; Recommendations  </t>
  </si>
  <si>
    <t>Total forecasted net cash expenditures by the Principal Recipient for the period immediately following the period covered by the Progress Update:</t>
  </si>
  <si>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t>
  </si>
  <si>
    <t>The LFA should sign a printed version of the verified PU/DR and send it to the Secretariat as a pdf file by email, or include an electronic signature in the Excel file to be submitted to the Global Fund.</t>
  </si>
  <si>
    <t>Signed on behalf of the LFA:</t>
  </si>
  <si>
    <t>Item No.</t>
  </si>
  <si>
    <t>LFA Adjustments</t>
  </si>
  <si>
    <t xml:space="preserve">For LFA Use Only </t>
  </si>
  <si>
    <t>Description</t>
  </si>
  <si>
    <t xml:space="preserve">Disbursement to third parties by the Global Fund on behalf of the Principal Recipient </t>
  </si>
  <si>
    <t>A. Principal Recipient Cash Reconciliation Statement in Grant Currency</t>
  </si>
  <si>
    <t>Cumulative for Previous Periods</t>
  </si>
  <si>
    <t>Total Cash Balance</t>
  </si>
  <si>
    <t>B. Principal Recipient Bank Statement Balance &amp; Cash In Transit in Grant Currency</t>
  </si>
  <si>
    <t>Principal Recipient disbursement to sub-recipients</t>
  </si>
  <si>
    <t>Total Grant Income</t>
  </si>
  <si>
    <t xml:space="preserve">    2a.  Health Products- Pharmaceutical Products</t>
  </si>
  <si>
    <t xml:space="preserve">    2b.  Health Products - Non-Pharmaceuticals &amp; Equipment</t>
  </si>
  <si>
    <t>Principal Recipient Cash Balance as per bank statements (For Information Only):</t>
  </si>
  <si>
    <t>Principal Recipient Cash Balance</t>
  </si>
  <si>
    <t>Sub-Recipient Cash Balance</t>
  </si>
  <si>
    <t>Procurement data for analytical purposes</t>
  </si>
  <si>
    <t>Actual Grant Expenditure - Cash Basis for Reporting Period</t>
  </si>
  <si>
    <t>Cumulative Actual Grant Expenditure - Cash Basis through period of Progress Update</t>
  </si>
  <si>
    <t>Local Fund Agent (LFA)</t>
  </si>
  <si>
    <t>Cumulative for Previous Periods as validated by Global Fund</t>
  </si>
  <si>
    <t>Actual Expenditure</t>
  </si>
  <si>
    <t>2. Total pharmaceutical &amp; non-pharmaceutical incl. equipment expenditures vs. budget</t>
  </si>
  <si>
    <t>Cumulative for the Implementation Period</t>
  </si>
  <si>
    <t>Cumulative Actual Expenditure</t>
  </si>
  <si>
    <t>Cumulative Budget Vs Actuals Variances</t>
  </si>
  <si>
    <t>Budget for the Buffer Period</t>
  </si>
  <si>
    <t>Actual Grant Cash Out-Flow - Cash Basis for Reporting Period</t>
  </si>
  <si>
    <t>Cumulative Actual Grant Cash-Outflow - Cash Basis through period of Progress Update</t>
  </si>
  <si>
    <t>Country Team Adjustments (incl. External Audit adjustments)</t>
  </si>
  <si>
    <t xml:space="preserve">For Local Fund Agent Use Only </t>
  </si>
  <si>
    <t>(1) 
Sub-Recipient Name</t>
  </si>
  <si>
    <t>(3) 
Sub-Recipient Open Advances at Principal Recipient Level</t>
  </si>
  <si>
    <t>1. Total Principal Recipient cash outflow vs. budget</t>
  </si>
  <si>
    <t>Grant Name:</t>
  </si>
  <si>
    <t>(Disease) Component</t>
  </si>
  <si>
    <t>Explanation of Variances (mandatory for all percentages below 95% &amp; above 105%)</t>
  </si>
  <si>
    <t>Total Principal Recipient Forecast (including Buffer)</t>
  </si>
  <si>
    <t>Local Fund Agent - Adjusted Forecast (including the buffer)</t>
  </si>
  <si>
    <t>Bank charges on disbursements and payments</t>
  </si>
  <si>
    <t>Ineligible transactions from previous periods for which justification was approved by the Global Fund</t>
  </si>
  <si>
    <t>Reimbursement of ineligible transactions from previous periods</t>
  </si>
  <si>
    <t>Ineligible transactions validated for the reporting period</t>
  </si>
  <si>
    <t>Cumulative ineligible transactions for the implementation period</t>
  </si>
  <si>
    <t>Open ineligible transactions to be justified and/or reimbursed</t>
  </si>
  <si>
    <t>(2) 
 Cumulative Sub-Recipient expenses for prior periods at Principal Recipient level</t>
  </si>
  <si>
    <t>Section 3B: LFA-Verified Procurement and Supply Management Information</t>
  </si>
  <si>
    <t>LFA comments on PR's explanation of any significant variance between forecasted amounts and amounts as originally budgeted.</t>
  </si>
  <si>
    <t>LFA comments on the exchange rates used by the PR</t>
  </si>
  <si>
    <t>Section 2: Financial Information</t>
  </si>
  <si>
    <t>CT Adjustments (incl. External Audit adjustments)</t>
  </si>
  <si>
    <t>Principal Recipient Expenditure (including payments and other advance payments)</t>
  </si>
  <si>
    <t>Total Grant Cash Outflows</t>
  </si>
  <si>
    <t>CT Adjustments</t>
  </si>
  <si>
    <t>Reimbursement of ineligible transaction from previous periods</t>
  </si>
  <si>
    <t>Section 1:  Programmatic Information</t>
  </si>
  <si>
    <t>A- Impact/Outcome Indicators</t>
  </si>
  <si>
    <t>Section 1: Programmatic Information</t>
  </si>
  <si>
    <t>A- Impact/Outcome Indicators - Disaggregation</t>
  </si>
  <si>
    <t>B- Coverage Indicators</t>
  </si>
  <si>
    <t>B- Coverage Indicators - Disaggregation</t>
  </si>
  <si>
    <t>C- Workplan Tracking Measures</t>
  </si>
  <si>
    <t>Reasons for Variance</t>
  </si>
  <si>
    <t>Key Pharmaceuticals &amp; Health Products</t>
  </si>
  <si>
    <t>Risk of Stock-Out</t>
  </si>
  <si>
    <t>Risk of Expiry</t>
  </si>
  <si>
    <t>6. Anti-TB medicines</t>
  </si>
  <si>
    <t>7. Lab supplies (e.g. CD4, Viral Load, Cartridges…)</t>
  </si>
  <si>
    <t>3.  Comment on additional issues related to the procurement and supply management of pharmaceuticals and health products.</t>
  </si>
  <si>
    <t>B.  PR &amp; LFA Review of Progress on Implementation of Outstanding Management Actions from Previous Disbursements</t>
  </si>
  <si>
    <t>C.  Comments on Annual Grant Reporting Requirements</t>
  </si>
  <si>
    <r>
      <t>!</t>
    </r>
    <r>
      <rPr>
        <sz val="12"/>
        <rFont val="Georgia"/>
        <family val="1"/>
      </rPr>
      <t xml:space="preserve"> Please list all issues raised in the last Performance Letter from the Global Fund or outstanding from previous Performance Letters, and comment on the progress. Please include the date of the Performance Letter and the item number.</t>
    </r>
  </si>
  <si>
    <t>Budget for Forecast Period</t>
  </si>
  <si>
    <t>Summary Breakdown by Cost Grouping</t>
  </si>
  <si>
    <t>Section 8B.  Disbursement Request and Recommendation</t>
  </si>
  <si>
    <t>Summary of the LFA's approach used for verification of financial, programmatic and procurement data and Quality Assurance undertaken by the LFA</t>
  </si>
  <si>
    <t>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t>
  </si>
  <si>
    <t>2. Grant Income</t>
  </si>
  <si>
    <t>3. Grant Cash Outflows</t>
  </si>
  <si>
    <t>4. Reconciling Adjustments</t>
  </si>
  <si>
    <t>5. Total Cash Balances: End of the reporting period</t>
  </si>
  <si>
    <t>Section 9B.  LFA Authorization</t>
  </si>
  <si>
    <t>Grant Name/Number:</t>
  </si>
  <si>
    <r>
      <t xml:space="preserve">Baseline 
</t>
    </r>
    <r>
      <rPr>
        <sz val="12"/>
        <rFont val="Georgia"/>
        <family val="1"/>
      </rPr>
      <t>(if applicable)</t>
    </r>
  </si>
  <si>
    <t>Progress Status</t>
  </si>
  <si>
    <t>Not Started</t>
  </si>
  <si>
    <t>Started</t>
  </si>
  <si>
    <t>Advancing</t>
  </si>
  <si>
    <t>Completed</t>
  </si>
  <si>
    <t xml:space="preserve">    1a. Principal Recipient's total expenditures (including any direct-disbursements to third-parties)</t>
  </si>
  <si>
    <t>2. Total pharmaceutical &amp; non-pharmaceutical incl. equipment expenditures vs.    budget</t>
  </si>
  <si>
    <t xml:space="preserve">LFA comments on the Principal Recipient's explanation of variances </t>
  </si>
  <si>
    <t xml:space="preserve">LFA comments on thePrincipal Recipient's explanation of variances </t>
  </si>
  <si>
    <t>Modular Approach - Modules</t>
  </si>
  <si>
    <t>Validated Result</t>
  </si>
  <si>
    <t>Country Team comments on validated results</t>
  </si>
  <si>
    <t>Validated Results</t>
  </si>
  <si>
    <t>Country Team Comments on Validated Score</t>
  </si>
  <si>
    <t>Country Team Comments</t>
  </si>
  <si>
    <t>Country Team Comments of PR Progress on Global Fund Management Actions</t>
  </si>
  <si>
    <t>Validate Status</t>
  </si>
  <si>
    <t>LFA comments on the Principal Recipient's explanation of variances</t>
  </si>
  <si>
    <t xml:space="preserve">Disbursement made to the Principal Recipient </t>
  </si>
  <si>
    <t>Geographic Area</t>
  </si>
  <si>
    <t>Validated Score</t>
  </si>
  <si>
    <t>8. Other (Please specify in the "Comment" column)</t>
  </si>
  <si>
    <r>
      <t xml:space="preserve">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t>
    </r>
    <r>
      <rPr>
        <b/>
        <sz val="12"/>
        <color indexed="12"/>
        <rFont val="Georgia"/>
        <family val="1"/>
      </rPr>
      <t>!</t>
    </r>
    <r>
      <rPr>
        <sz val="12"/>
        <rFont val="Georgia"/>
        <family val="1"/>
      </rPr>
      <t xml:space="preserve">  For further guidance on PQR data entry, please refer to the guidelines.</t>
    </r>
  </si>
  <si>
    <r>
      <t>(!)</t>
    </r>
    <r>
      <rPr>
        <sz val="12"/>
        <rFont val="Georgia"/>
        <family val="1"/>
      </rPr>
      <t xml:space="preserve">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t>
    </r>
    <r>
      <rPr>
        <b/>
        <sz val="12"/>
        <color indexed="12"/>
        <rFont val="Georgia"/>
        <family val="1"/>
      </rPr>
      <t>(!)</t>
    </r>
    <r>
      <rPr>
        <sz val="12"/>
        <rFont val="Georgia"/>
        <family val="1"/>
      </rPr>
      <t xml:space="preserve">  For further guidance on PQR data entry, please refer to the guidelines.</t>
    </r>
  </si>
  <si>
    <r>
      <t xml:space="preserve"> 2. Based on best information available to the LFA, are there any risks of drug stock-out or expiries at the central level in the next period of implementation?  (If yes, please explain in comments box)
</t>
    </r>
    <r>
      <rPr>
        <sz val="12"/>
        <rFont val="Georgia"/>
        <family val="1"/>
      </rPr>
      <t>! This section should be completed by the LFA based on best information on stock at the central level available to the LFA and should not require dedicated visits for on-site checks of stocks.</t>
    </r>
  </si>
  <si>
    <t>Due date
(dd-mmm-yy)</t>
  </si>
  <si>
    <t>(4) 
Disbursements made by Principal Recipient during the Reporting Period</t>
  </si>
  <si>
    <t xml:space="preserve">(5) 
Other Income* during the Reporting Period </t>
  </si>
  <si>
    <t>(6) 
Expenditure validated by Principal Recipient during the Reporting Period</t>
  </si>
  <si>
    <t>Comments:
Reasons for programmatic deviation from intended target and deviations from the related workplan activities</t>
  </si>
  <si>
    <r>
      <t xml:space="preserve">Comments:
LFA analysis on progress to date and any variance between targets and results, and any other comments
</t>
    </r>
    <r>
      <rPr>
        <sz val="12"/>
        <rFont val="Georgia"/>
        <family val="1"/>
      </rPr>
      <t>(this should not be a “Copy and Paste” of the reasons provided by the PR)</t>
    </r>
  </si>
  <si>
    <t>Year of Result</t>
  </si>
  <si>
    <t>3. In-Vitro Diagnostic Products</t>
  </si>
  <si>
    <t>7. Indoor Residual Spraying (IRS)</t>
  </si>
  <si>
    <t>LFA Name:</t>
  </si>
  <si>
    <t>Result</t>
  </si>
  <si>
    <t>As At End of Current Period</t>
  </si>
  <si>
    <t>LFA Adjustments on Current Reporting Period</t>
  </si>
  <si>
    <t>Comment (if yes, please provide information on the specific items that are at risk of stock-out or expiry and the mitigation measures in place or to be implemented)</t>
  </si>
  <si>
    <t>Achievement Ratio</t>
  </si>
  <si>
    <t>A.  PR and LFA Comments on the Fulfilment of Grant Requirements</t>
  </si>
  <si>
    <t>Disbursement Request Amount:</t>
  </si>
  <si>
    <t>Disbursement Recommendation Amount:</t>
  </si>
  <si>
    <t xml:space="preserve">D. Principal Recipient Ineligible Transactions in Grant Currency </t>
  </si>
  <si>
    <t>Summary Breakdown by Interventions</t>
  </si>
  <si>
    <t>Principal Recipient Reporting</t>
  </si>
  <si>
    <t>Principal Recipient Reporting - Period Covered:</t>
  </si>
  <si>
    <t>Section 3A:  Principal Recipient - Procurement and Supply Management</t>
  </si>
  <si>
    <r>
      <rPr>
        <b/>
        <sz val="12"/>
        <color indexed="12"/>
        <rFont val="Georgia"/>
        <family val="1"/>
      </rPr>
      <t>!</t>
    </r>
    <r>
      <rPr>
        <sz val="12"/>
        <rFont val="Georgia"/>
        <family val="1"/>
      </rPr>
      <t xml:space="preserve"> Please include in this table the Grant Requirement number as per Grant Confirmation and full text of the requirement due for fulfilment during this period </t>
    </r>
    <r>
      <rPr>
        <u/>
        <sz val="12"/>
        <rFont val="Georgia"/>
        <family val="1"/>
      </rPr>
      <t>or</t>
    </r>
    <r>
      <rPr>
        <sz val="12"/>
        <rFont val="Georgia"/>
        <family val="1"/>
      </rPr>
      <t xml:space="preserve"> outstanding from previous periods. 
</t>
    </r>
    <r>
      <rPr>
        <b/>
        <sz val="12"/>
        <color indexed="12"/>
        <rFont val="Georgia"/>
        <family val="1"/>
      </rPr>
      <t>!</t>
    </r>
    <r>
      <rPr>
        <sz val="12"/>
        <color indexed="12"/>
        <rFont val="Georgia"/>
        <family val="1"/>
      </rPr>
      <t xml:space="preserve"> </t>
    </r>
    <r>
      <rPr>
        <sz val="12"/>
        <rFont val="Georgia"/>
        <family val="1"/>
      </rPr>
      <t>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r>
  </si>
  <si>
    <t>Section 5: Principal Recipient and LFA Evaluation of Overall Performance</t>
  </si>
  <si>
    <t>A.  Principal Recipient's Overall Self-Evaluation of Grant Performance (including a summary of how financial performance is linked to programmatic achievements)</t>
  </si>
  <si>
    <r>
      <t xml:space="preserve">! </t>
    </r>
    <r>
      <rPr>
        <sz val="11"/>
        <rFont val="Georgia"/>
        <family val="1"/>
      </rPr>
      <t xml:space="preserve">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r>
    <r>
      <rPr>
        <b/>
        <sz val="11"/>
        <color indexed="12"/>
        <rFont val="Georgia"/>
        <family val="1"/>
      </rPr>
      <t/>
    </r>
  </si>
  <si>
    <r>
      <t>B.  LFA comments on the Principal Recipient planned changes in the program, if any</t>
    </r>
    <r>
      <rPr>
        <sz val="11"/>
        <color indexed="9"/>
        <rFont val="Arial"/>
        <family val="2"/>
      </rPr>
      <t/>
    </r>
  </si>
  <si>
    <t>Grant Currency:</t>
  </si>
  <si>
    <t>REPORTING PERIOD FOR PROGRAMMATIC REPORTING</t>
  </si>
  <si>
    <t>REPORTING PERIOD FOR FINANCIAL REPORTING</t>
  </si>
  <si>
    <t>Finance related Conditions are not met or are partly met</t>
  </si>
  <si>
    <t>If answer to point 8 is "yes", the Annual Cash Forecast has been adjusted to take into consideration the past absorption</t>
  </si>
  <si>
    <t xml:space="preserve">Expenditure vs. Budget (in EFR/AFR) rate below 50% for the prior annual period. </t>
  </si>
  <si>
    <t>Presence of major issues identified with respect to the Financial Management and Systems Area</t>
  </si>
  <si>
    <t>Critical recommendations by auditors, OIG or the Global Fund on internal controls are not implemented or being addressed by the PR</t>
  </si>
  <si>
    <t>Inadequate explanation of significant variance (+/-10%) between budget and actual expenditures by intervention/Service Delivery Area and/or cost grouping/cost category linked to programmatic results</t>
  </si>
  <si>
    <t>Enhanced Financial Report/Annual Financial Report has not been fully completed or does not include all the grant's expenditures for the period</t>
  </si>
  <si>
    <t>Qualified, adverse or disclaimer of opinion received for the latest audit</t>
  </si>
  <si>
    <t>Audit Report overdue</t>
  </si>
  <si>
    <t>Cash balance not reconciled to the cash reconciliation and bank account with significant (+/-5%) and unexplained differences</t>
  </si>
  <si>
    <t>Answer</t>
  </si>
  <si>
    <t>Financial Triggers</t>
  </si>
  <si>
    <t>1b.  Value of Pharmaceuticals and Health Products in the PQR (7 categories only)</t>
  </si>
  <si>
    <t>Type of Recipient</t>
  </si>
  <si>
    <t>B. BREAKDOWN BY INTERVENTIONS</t>
  </si>
  <si>
    <t>C. BREAKDOWN BY IMPLEMENTING ENTITY</t>
  </si>
  <si>
    <t>Section 7A.The Principal Recipient Expenditure Report Completed by the Principal Recipient</t>
  </si>
  <si>
    <t>Section 7B.The Principal Recipient Expenditure Report Verified by the LFA</t>
  </si>
  <si>
    <t>Section 9A.  Principal Recipient Authorization</t>
  </si>
  <si>
    <t>Local Currency:</t>
  </si>
  <si>
    <t>[Name]</t>
  </si>
  <si>
    <t>Disbursement Request</t>
  </si>
  <si>
    <t>Last PR of Implementation Period</t>
  </si>
  <si>
    <t>[Tab Name]</t>
  </si>
  <si>
    <t>Tab Name</t>
  </si>
  <si>
    <t>[Opt In Disbursement Request]</t>
  </si>
  <si>
    <t>Opt In Disbursement Request</t>
  </si>
  <si>
    <t>[Opt-In Progress Update]</t>
  </si>
  <si>
    <t>Opt-In Progress Update</t>
  </si>
  <si>
    <t>[Opt-In Last PR of Implementation Period]</t>
  </si>
  <si>
    <t>Opt-In Last PR of Implementation Period</t>
  </si>
  <si>
    <t>Version</t>
  </si>
  <si>
    <t>Grant ID</t>
  </si>
  <si>
    <t>Reporting Period End Date</t>
  </si>
  <si>
    <t>[Impact]</t>
  </si>
  <si>
    <t>[Impact Indicator Name]</t>
  </si>
  <si>
    <t>[Custom Impact Indicator]</t>
  </si>
  <si>
    <t>[Baseline Value]</t>
  </si>
  <si>
    <t>[Baseline Year]</t>
  </si>
  <si>
    <t>[Year of Target]</t>
  </si>
  <si>
    <t>[Report Due Date]</t>
  </si>
  <si>
    <t>[Year of Result (PR)]</t>
  </si>
  <si>
    <t>[Data Source Result (PR)]</t>
  </si>
  <si>
    <t>[Comments (PR)]</t>
  </si>
  <si>
    <t>[Verification Method (LFA)]</t>
  </si>
  <si>
    <t>[Year of Result (LFA)]</t>
  </si>
  <si>
    <t>[Data Source Result (LFA)]</t>
  </si>
  <si>
    <t>[Comments (LFA)]</t>
  </si>
  <si>
    <t>[Outcome]</t>
  </si>
  <si>
    <t>Outcome</t>
  </si>
  <si>
    <t>[Outcome Indicator Name]</t>
  </si>
  <si>
    <t>[Custom Outcome Indicator]</t>
  </si>
  <si>
    <t>[Disaggregation]</t>
  </si>
  <si>
    <t>[Category]</t>
  </si>
  <si>
    <t>[Baseline Source]</t>
  </si>
  <si>
    <t>[Result Value (PR)]</t>
  </si>
  <si>
    <t>[Result Source (PR)]</t>
  </si>
  <si>
    <t>[Result Comments (PR)]</t>
  </si>
  <si>
    <t>[Verified Result Value (LFA)]</t>
  </si>
  <si>
    <t>[Verified Result Source (LFA)]</t>
  </si>
  <si>
    <t>[Verified Result Comments (LFA)]</t>
  </si>
  <si>
    <t>[Module Name]</t>
  </si>
  <si>
    <t>[Coverage Indicator Name]</t>
  </si>
  <si>
    <t>[Custom Coverage Indicator Name - EN]</t>
  </si>
  <si>
    <t>[Geographic Coverage]</t>
  </si>
  <si>
    <t>[Cumulation Type]</t>
  </si>
  <si>
    <t>[Baseline N#]</t>
  </si>
  <si>
    <t>[Baseline D#]</t>
  </si>
  <si>
    <t>[Baseline %]</t>
  </si>
  <si>
    <t>[Year]</t>
  </si>
  <si>
    <t>Year</t>
  </si>
  <si>
    <t>[Target N#]</t>
  </si>
  <si>
    <t>[Target D#]</t>
  </si>
  <si>
    <t>[Target %]</t>
  </si>
  <si>
    <t>[Result N#  (PR)]</t>
  </si>
  <si>
    <t>[Result D# (PR)]</t>
  </si>
  <si>
    <t>[Verified Result N# (LFA)]</t>
  </si>
  <si>
    <t>[Verified Result D# (LFA)]</t>
  </si>
  <si>
    <t>[Result N# (PR)]</t>
  </si>
  <si>
    <t>[Source (PR)]</t>
  </si>
  <si>
    <t>[LFA Source]</t>
  </si>
  <si>
    <t>[Result D# (LFA)]</t>
  </si>
  <si>
    <t>[Result N# (LFA)]</t>
  </si>
  <si>
    <t>Module Name</t>
  </si>
  <si>
    <t>[Intervention]</t>
  </si>
  <si>
    <t>Intervention</t>
  </si>
  <si>
    <t>[Key Activity]</t>
  </si>
  <si>
    <t>[Milestone / Target Description]</t>
  </si>
  <si>
    <t>[Criterion for Completion]</t>
  </si>
  <si>
    <t>Criterion for Completion</t>
  </si>
  <si>
    <t>[Milestone / Target]</t>
  </si>
  <si>
    <t>[Country]</t>
  </si>
  <si>
    <t>[Progress Status (PR)]</t>
  </si>
  <si>
    <t>[Reasons for Deviation (PR)]</t>
  </si>
  <si>
    <t>[Progress Status (LFA)]</t>
  </si>
  <si>
    <t>[Reasons for Deviation (LFA)]</t>
  </si>
  <si>
    <t>[Grant Requirements]</t>
  </si>
  <si>
    <t>Grant Requirements</t>
  </si>
  <si>
    <t>[Status (PR)]</t>
  </si>
  <si>
    <t>[Comments-progress of implementation (PR)]</t>
  </si>
  <si>
    <t>[Status (LFA)]</t>
  </si>
  <si>
    <t>[Analysis (LFA)]</t>
  </si>
  <si>
    <t>[Record ID]</t>
  </si>
  <si>
    <t>Record ID</t>
  </si>
  <si>
    <t>Value</t>
  </si>
  <si>
    <t>Source</t>
  </si>
  <si>
    <t>If sub-national, please specify under the "Comments" Column</t>
  </si>
  <si>
    <t>Activity</t>
  </si>
  <si>
    <t>Activity details- milestones/ targets</t>
  </si>
  <si>
    <t xml:space="preserve">Milestones/Target for the Current Period </t>
  </si>
  <si>
    <t>Country (relevant for multi-country grants)</t>
  </si>
  <si>
    <t>Reasons for deviation from workplan activities and milestones</t>
  </si>
  <si>
    <t>Verified Score</t>
  </si>
  <si>
    <t>LFA Analysis
(this should not be a ""Copy and Paste"" of the comments provided by the PR)</t>
  </si>
  <si>
    <t>Score</t>
  </si>
  <si>
    <t>Custom Intervention</t>
  </si>
  <si>
    <t>[Custom Intervention]</t>
  </si>
  <si>
    <t>[Verified Result N#  (LFA)]</t>
  </si>
  <si>
    <t>Financial Period Start Date</t>
  </si>
  <si>
    <t>PQR Response (PR)</t>
  </si>
  <si>
    <t>PQR Response (LFA)</t>
  </si>
  <si>
    <t>[GF Management Actions]</t>
  </si>
  <si>
    <t>[Comments on Progress (LFA)]</t>
  </si>
  <si>
    <t>[Description of identified Issues]</t>
  </si>
  <si>
    <t>[LFA Recomendations]</t>
  </si>
  <si>
    <t>IP ID</t>
  </si>
  <si>
    <t>Functional Areas</t>
  </si>
  <si>
    <t>Record Type</t>
  </si>
  <si>
    <t>Record Type ID</t>
  </si>
  <si>
    <t>IP Id</t>
  </si>
  <si>
    <t>Record Type Id</t>
  </si>
  <si>
    <t>Description of Identified Issues 
(in order of importance)</t>
  </si>
  <si>
    <t>LFA Recommendations 
(in order of importance)</t>
  </si>
  <si>
    <t>[Budget for Reporting Period]</t>
  </si>
  <si>
    <t>[Cumulative Budget]</t>
  </si>
  <si>
    <t>[PR Actual Expenditure]</t>
  </si>
  <si>
    <t>[PR Cumulative Expenditures]</t>
  </si>
  <si>
    <t>[LFA Adjustment on Expenditures]</t>
  </si>
  <si>
    <t>[LFA Cumulative Expenditures]</t>
  </si>
  <si>
    <t>Quantitative Indicator (LFA)</t>
  </si>
  <si>
    <t>Major Issues Identified (LFA)</t>
  </si>
  <si>
    <t>Overall Rating (LFA)</t>
  </si>
  <si>
    <t>Local Fund Agent Adjustment on Expenditures</t>
  </si>
  <si>
    <t>Global Fund Management Actions</t>
  </si>
  <si>
    <t xml:space="preserve">LFA Review of PR Progress on Global Fund Management Actions </t>
  </si>
  <si>
    <t>Due date 
(dd-mmm-yy)</t>
  </si>
  <si>
    <r>
      <t xml:space="preserve">Sheet </t>
    </r>
    <r>
      <rPr>
        <b/>
        <sz val="10"/>
        <rFont val="Arial"/>
        <family val="2"/>
      </rPr>
      <t>LFA_Findings&amp;Recommendations_6</t>
    </r>
  </si>
  <si>
    <t>[Module]</t>
  </si>
  <si>
    <t>Type of Implementing Entity</t>
  </si>
  <si>
    <t>Implementing Entity</t>
  </si>
  <si>
    <t>Expiry Response (LFA)</t>
  </si>
  <si>
    <t>Stock Out Response (LFA)</t>
  </si>
  <si>
    <t>[Report Year]</t>
  </si>
  <si>
    <t>Disaggregation Report Year</t>
  </si>
  <si>
    <t>Being Uploaded from PR Template</t>
  </si>
  <si>
    <t>[Full Type]</t>
  </si>
  <si>
    <t>Met</t>
  </si>
  <si>
    <t>PR Audit Report</t>
  </si>
  <si>
    <t>Annual Financial Report (AFR) / Enhanced Financial Report (EFR)</t>
  </si>
  <si>
    <t>Waived</t>
  </si>
  <si>
    <t>In Progress</t>
  </si>
  <si>
    <t xml:space="preserve">Actual Expenditure </t>
  </si>
  <si>
    <t>[Implementing Entity to display]</t>
  </si>
  <si>
    <t>Principal Recipient Reconciliation of funds provided to Sub-Recipients for the Current Implementation Period</t>
  </si>
  <si>
    <t>Total Principal Recipient Budget Variance and Funding Absorption Analysis</t>
  </si>
  <si>
    <t>E. Total Principal Recipient Budget Variance and Absorption Analysis</t>
  </si>
  <si>
    <t>Section 8A: The Global Fund  Forecast Template</t>
  </si>
  <si>
    <t>Principal Recipient Forecast for the period (not including the Buffer)</t>
  </si>
  <si>
    <t>Principal Recipient Forecast for the Buffer Period</t>
  </si>
  <si>
    <t>Local Fund Agent Adjusted Principal Recipient Forecast for the period (not including the Buffer)</t>
  </si>
  <si>
    <t>Local Fund Agent Adjusted Principal Recipient Forecast for the Buffer Period</t>
  </si>
  <si>
    <t>Summary Breakdown by Quarter</t>
  </si>
  <si>
    <t xml:space="preserve">Calendar Period </t>
  </si>
  <si>
    <t>Approved Budget</t>
  </si>
  <si>
    <t>Forecasted Disbursement to Principal Recipient</t>
  </si>
  <si>
    <t>Forecasted Direct Disbursement</t>
  </si>
  <si>
    <t>Local Fund Agent</t>
  </si>
  <si>
    <t xml:space="preserve">Validation of Principal Recipient Grand Total </t>
  </si>
  <si>
    <t>Cash Forecast '!E53+'Cash Forecast '!D53+'Cash Forecast '!C53-B14-B15-B16+D23+D24,D13)))</t>
  </si>
  <si>
    <t>Principal RECIPIENT</t>
  </si>
  <si>
    <t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t>
  </si>
  <si>
    <t>Execution Period</t>
  </si>
  <si>
    <t>Buffer Period</t>
  </si>
  <si>
    <t>Calendar Period</t>
  </si>
  <si>
    <t>Principal Recipient Forecast</t>
  </si>
  <si>
    <t>PPM/Wambo.org  forecasted disbursement</t>
  </si>
  <si>
    <t>Local Fund Agent  Forecast</t>
  </si>
  <si>
    <t>Exchange Rate</t>
  </si>
  <si>
    <t>'- used to convert Opening Cash Balance</t>
  </si>
  <si>
    <t>Financial  Triggers for Principal Recipient Reporting</t>
  </si>
  <si>
    <t>[Item number]</t>
  </si>
  <si>
    <t>Item number</t>
  </si>
  <si>
    <t>PR Cumulative</t>
  </si>
  <si>
    <t>PR Comment</t>
  </si>
  <si>
    <t>PR Current</t>
  </si>
  <si>
    <t>LFA Cumulative</t>
  </si>
  <si>
    <t>LFA Current Adjust</t>
  </si>
  <si>
    <t>LFA Comment</t>
  </si>
  <si>
    <t>1.1</t>
  </si>
  <si>
    <t>2.1</t>
  </si>
  <si>
    <t>2.2</t>
  </si>
  <si>
    <t>2.3</t>
  </si>
  <si>
    <t>2.4</t>
  </si>
  <si>
    <t>2.5</t>
  </si>
  <si>
    <t>2.6</t>
  </si>
  <si>
    <t>3.1</t>
  </si>
  <si>
    <t>3.2</t>
  </si>
  <si>
    <t>3.3</t>
  </si>
  <si>
    <t>3.4</t>
  </si>
  <si>
    <t>3.5</t>
  </si>
  <si>
    <t>4.1</t>
  </si>
  <si>
    <t>4.2</t>
  </si>
  <si>
    <t>4.3</t>
  </si>
  <si>
    <t>4.4</t>
  </si>
  <si>
    <t>5.1</t>
  </si>
  <si>
    <t>5.2</t>
  </si>
  <si>
    <t>5.3</t>
  </si>
  <si>
    <t>6.1</t>
  </si>
  <si>
    <t>6.2</t>
  </si>
  <si>
    <t>6.3</t>
  </si>
  <si>
    <t>7.1</t>
  </si>
  <si>
    <t>7.2</t>
  </si>
  <si>
    <t>7.4</t>
  </si>
  <si>
    <t>8.1</t>
  </si>
  <si>
    <t>8.2</t>
  </si>
  <si>
    <t>8.3</t>
  </si>
  <si>
    <t>8.4</t>
  </si>
  <si>
    <t>8.5</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</si>
  <si>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</si>
  <si>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</si>
  <si>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</si>
  <si>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</si>
  <si>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</si>
  <si>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</si>
  <si>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</si>
  <si>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</si>
  <si>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[LFA Adjustments]</t>
  </si>
  <si>
    <t>Reporting Period ID</t>
  </si>
  <si>
    <t>[Budget for Forecast Period]</t>
  </si>
  <si>
    <t>[PR Forecast for the period]</t>
  </si>
  <si>
    <t>[Budget for the Buffer Period]</t>
  </si>
  <si>
    <t>[PR Forecast for the Buffer Period]</t>
  </si>
  <si>
    <t>[PR Comments]</t>
  </si>
  <si>
    <t>[LFA Adjusted Forecast for the period]</t>
  </si>
  <si>
    <t>[LFA Adj. Forecast for the Buffer period]</t>
  </si>
  <si>
    <t>[LFA Comments]</t>
  </si>
  <si>
    <t>[Start Date]</t>
  </si>
  <si>
    <t>Start Date</t>
  </si>
  <si>
    <t>[End date]</t>
  </si>
  <si>
    <t>End date</t>
  </si>
  <si>
    <t>[Time ID]</t>
  </si>
  <si>
    <t>Time ID</t>
  </si>
  <si>
    <t>[Quarterly Cash Forecast Name]</t>
  </si>
  <si>
    <t>Quarterly Cash Forecast Name</t>
  </si>
  <si>
    <t>[Forecast Q1]</t>
  </si>
  <si>
    <t>Forecast Q1</t>
  </si>
  <si>
    <t>[Forecast Q2]</t>
  </si>
  <si>
    <t>Forecast Q2</t>
  </si>
  <si>
    <t>[Forecast Q3]</t>
  </si>
  <si>
    <t>Forecast Q3</t>
  </si>
  <si>
    <t>[Forecast Q4]</t>
  </si>
  <si>
    <t>Forecast Q4</t>
  </si>
  <si>
    <t>[Buffer Q1]</t>
  </si>
  <si>
    <t>Buffer Q1</t>
  </si>
  <si>
    <t>[Buffer Q2]</t>
  </si>
  <si>
    <t>Buffer Q2</t>
  </si>
  <si>
    <t>Name</t>
  </si>
  <si>
    <t>Disbursement Buffer Start Date</t>
  </si>
  <si>
    <t>Disbursement Buffer End Date</t>
  </si>
  <si>
    <t>Disbursement Execution Start Date</t>
  </si>
  <si>
    <t>Disbursement Execution End Date</t>
  </si>
  <si>
    <t>Time Object -Forecast</t>
  </si>
  <si>
    <t>Time Object - Buffer</t>
  </si>
  <si>
    <t>Reporting period</t>
  </si>
  <si>
    <t>Progress Update</t>
  </si>
  <si>
    <t>Period of Programmatic Reporting</t>
  </si>
  <si>
    <t>Period of Financial Reporting</t>
  </si>
  <si>
    <t>Disbursement Request Buffer Period</t>
  </si>
  <si>
    <t>Disbursement Request Execution Period</t>
  </si>
  <si>
    <t>Note: The table contains those Impact/Outcome indicators that are (1) due for reporting in the current reporting period and (2) those reporting on which is overdue from the previous periods.</t>
  </si>
  <si>
    <t>Standard Impact/Outcome Indicator</t>
  </si>
  <si>
    <t>Custom Impact/Outcome Indicator</t>
  </si>
  <si>
    <t>Standard Coverage Indicator</t>
  </si>
  <si>
    <t>Custom Coverage Indicator</t>
  </si>
  <si>
    <t>Note: Only the Workplan Tracking Measures that are due for the reporting period have been captured</t>
  </si>
  <si>
    <t>Cumulative Period of Financial Reporting</t>
  </si>
  <si>
    <t xml:space="preserve"> 2. Based on the most up-to-date stock situation, are there any risks of stock-outs or expiries for the key pharmaceuticals &amp; health products, listed below, at the central level in the next Reporting Period?  If yes, please comment.</t>
  </si>
  <si>
    <t>Cumulative value of products verified as correct by the LFA in the PQR since the start of the Implementation Period</t>
  </si>
  <si>
    <t>Cumulative value of  products received since the start of the Implementation Period</t>
  </si>
  <si>
    <t>Has the LFA Verified Principal Recipient Expenditure Report?</t>
  </si>
  <si>
    <t>Has the LFA Verified the Principal Recipient Forecast?</t>
  </si>
  <si>
    <t>[Costing Dimension (Cost Grouping)]</t>
  </si>
  <si>
    <t xml:space="preserve">Note: All coverage indicators contained in the current Performance Framework should be listed, regardless of whether the targets have been met in previous periods.  </t>
  </si>
  <si>
    <r>
      <rPr>
        <b/>
        <sz val="12"/>
        <rFont val="Georgia"/>
        <family val="1"/>
      </rPr>
      <t>Cover Sheet: Instructions</t>
    </r>
    <r>
      <rPr>
        <sz val="12"/>
        <rFont val="Georgia"/>
        <family val="1"/>
      </rPr>
      <t xml:space="preserve">
</t>
    </r>
    <r>
      <rPr>
        <sz val="12"/>
        <rFont val="Calibri"/>
        <family val="2"/>
      </rPr>
      <t>•</t>
    </r>
    <r>
      <rPr>
        <sz val="10.199999999999999"/>
        <rFont val="Georgia"/>
        <family val="1"/>
      </rPr>
      <t xml:space="preserve"> </t>
    </r>
    <r>
      <rPr>
        <sz val="12"/>
        <rFont val="Georgia"/>
        <family val="1"/>
      </rPr>
      <t>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t>
    </r>
  </si>
  <si>
    <t>(7)
Refunds received  from the Sub-Recipient</t>
  </si>
  <si>
    <t>(8) 
Sub-Recipient Closing Balance at Principal Recipient Level</t>
  </si>
  <si>
    <t>(9) 
Actual Sub-Recipient Cash Balance (if applicable)</t>
  </si>
  <si>
    <t xml:space="preserve"> (10)
Variances on Sub-Recipient Balances</t>
  </si>
  <si>
    <t xml:space="preserve">Validation of Local Fund Agent Grand Total </t>
  </si>
  <si>
    <t>LFA analysis of progress and any variance between targets and results, and any other comments
(this should not be a “Copy and Paste” of the reasons provided by the PR)</t>
  </si>
  <si>
    <t>RP ID</t>
  </si>
  <si>
    <t>Reporting Period Start Date</t>
  </si>
  <si>
    <t>[Cost Grouping Number]</t>
  </si>
  <si>
    <t>Cost Grouping Number</t>
  </si>
  <si>
    <t>Module Data - Component - Indicator Reference</t>
  </si>
  <si>
    <t>Intervention Data - Module-Coverage-Intervention Reference</t>
  </si>
  <si>
    <t>[Module-Coverage-Intervention Reference (Name)]</t>
  </si>
  <si>
    <t>Module-Coverage-Intervention Reference (Name)</t>
  </si>
  <si>
    <t>[Module (Name)]</t>
  </si>
  <si>
    <t>[Name ID]</t>
  </si>
  <si>
    <t>Name ID</t>
  </si>
  <si>
    <t>Grant Components</t>
  </si>
  <si>
    <t>[Component Name]</t>
  </si>
  <si>
    <t>Component Name</t>
  </si>
  <si>
    <t>[Component (Name)]</t>
  </si>
  <si>
    <t>Component (Name)</t>
  </si>
  <si>
    <t>Column1</t>
  </si>
  <si>
    <t>Column2</t>
  </si>
  <si>
    <t>Column3</t>
  </si>
  <si>
    <t>Column4</t>
  </si>
  <si>
    <t>Column5</t>
  </si>
  <si>
    <t>Column6</t>
  </si>
  <si>
    <t>unique id</t>
  </si>
  <si>
    <t>unique name list</t>
  </si>
  <si>
    <t>ModuleName</t>
  </si>
  <si>
    <t>Column8</t>
  </si>
  <si>
    <t>Summary Breakdown by Implementing Entity</t>
  </si>
  <si>
    <t>Progress Report with Disbursement Request</t>
  </si>
  <si>
    <t>Cash in Transit for the reporting period (Third party disbursements):</t>
  </si>
  <si>
    <t>Cash in Transit after the current reporting period (Third party disbursements) :</t>
  </si>
  <si>
    <t>PPM/eMP (Wambo.org) forecasted Amount</t>
  </si>
  <si>
    <t>#</t>
  </si>
  <si>
    <t xml:space="preserve">Module </t>
  </si>
  <si>
    <t>Cost input</t>
  </si>
  <si>
    <t>Amount in Grant Currency</t>
  </si>
  <si>
    <t>Delivery date</t>
  </si>
  <si>
    <t xml:space="preserve">Expected Payment date </t>
  </si>
  <si>
    <t xml:space="preserve">Effective Payment date </t>
  </si>
  <si>
    <t>Expected Delivery date</t>
  </si>
  <si>
    <t>Sheet Name</t>
  </si>
  <si>
    <t>Fetching RP Dates to filter out Grant Requirements</t>
  </si>
  <si>
    <t>4.5</t>
  </si>
  <si>
    <t>PR Actual Expenditure</t>
  </si>
  <si>
    <t>PR Cumulative Expenditures</t>
  </si>
  <si>
    <t>LFA Adjustment on Expenditures</t>
  </si>
  <si>
    <t>LFA Cumulative Expenditures</t>
  </si>
  <si>
    <t>Cost Input</t>
  </si>
  <si>
    <t>[Cost Input Number]</t>
  </si>
  <si>
    <t>Cost Input Number</t>
  </si>
  <si>
    <t>Cost Input Name</t>
  </si>
  <si>
    <t>Costing Dimension (Cost Grouping or Cost Input)</t>
  </si>
  <si>
    <t>A- BREAKDOWN BY COST GROUPING OR COST INPUT</t>
  </si>
  <si>
    <t>Cash in Transit for the reporting period (Disbursements to PR:</t>
  </si>
  <si>
    <r>
      <t>Cash in Transit after the current reporting period (Disbursements to PR</t>
    </r>
    <r>
      <rPr>
        <b/>
        <strike/>
        <sz val="11"/>
        <rFont val="Georgia"/>
        <family val="1"/>
      </rPr>
      <t/>
    </r>
  </si>
  <si>
    <t>Cash in Transit after the current reporting period (Disbursements to PR:</t>
  </si>
  <si>
    <t>Activity Description</t>
  </si>
  <si>
    <t>Financial Commitments</t>
  </si>
  <si>
    <t>Financial Obligations</t>
  </si>
  <si>
    <t>Total Financial Commitments &amp; Financial Obligations</t>
  </si>
  <si>
    <t>[Costing Dimension (Cost Input)]</t>
  </si>
  <si>
    <t>Advance payments made for the next implementation period</t>
  </si>
  <si>
    <t>Absorption Rate</t>
  </si>
  <si>
    <t>Cash Balance: End of period covered by Progress Update (Item 5.3 in PRLFA Cash Reconciliation):</t>
  </si>
  <si>
    <t>C. Principal Recipient Financial Commitments and Financial Obligations</t>
  </si>
  <si>
    <t>204f46a9-f618-4448-b472-3870523dc2b2</t>
  </si>
  <si>
    <t xml:space="preserve">     </t>
  </si>
  <si>
    <t>AIM_Implementation_Period__c.AIM_Grant_Currency__c</t>
  </si>
  <si>
    <t>CHF</t>
  </si>
  <si>
    <t>EUR</t>
  </si>
  <si>
    <t>USD</t>
  </si>
  <si>
    <t>AFN</t>
  </si>
  <si>
    <t>AMD</t>
  </si>
  <si>
    <t>AUD</t>
  </si>
  <si>
    <t>BAM</t>
  </si>
  <si>
    <t>BDT</t>
  </si>
  <si>
    <t>BGN</t>
  </si>
  <si>
    <t>BTN</t>
  </si>
  <si>
    <t>BYR</t>
  </si>
  <si>
    <t>CNY</t>
  </si>
  <si>
    <t>COP</t>
  </si>
  <si>
    <t>DOP</t>
  </si>
  <si>
    <t>GBP</t>
  </si>
  <si>
    <t>GEL</t>
  </si>
  <si>
    <t>GHS</t>
  </si>
  <si>
    <t>GNF</t>
  </si>
  <si>
    <t>GTQ</t>
  </si>
  <si>
    <t>IDR</t>
  </si>
  <si>
    <t>ILS</t>
  </si>
  <si>
    <t>INR</t>
  </si>
  <si>
    <t>JMD</t>
  </si>
  <si>
    <t>JOD</t>
  </si>
  <si>
    <t>JPY</t>
  </si>
  <si>
    <t>KES</t>
  </si>
  <si>
    <t>KZT</t>
  </si>
  <si>
    <t>MAD</t>
  </si>
  <si>
    <t>MGA</t>
  </si>
  <si>
    <t>MKD</t>
  </si>
  <si>
    <t>MUR</t>
  </si>
  <si>
    <t>NAD</t>
  </si>
  <si>
    <t>NGN</t>
  </si>
  <si>
    <t>NZD</t>
  </si>
  <si>
    <t>PGK</t>
  </si>
  <si>
    <t>PHP</t>
  </si>
  <si>
    <t>PYG</t>
  </si>
  <si>
    <t>RSD</t>
  </si>
  <si>
    <t>RUB</t>
  </si>
  <si>
    <t>SLL</t>
  </si>
  <si>
    <t>SRD</t>
  </si>
  <si>
    <t>SZL</t>
  </si>
  <si>
    <t>THB</t>
  </si>
  <si>
    <t>TND</t>
  </si>
  <si>
    <t>TZS</t>
  </si>
  <si>
    <t>UAH</t>
  </si>
  <si>
    <t>XAF</t>
  </si>
  <si>
    <t>XOF</t>
  </si>
  <si>
    <t>YER</t>
  </si>
  <si>
    <t>ZAR</t>
  </si>
  <si>
    <t>CAD</t>
  </si>
  <si>
    <t>SEK</t>
  </si>
  <si>
    <t>NOK</t>
  </si>
  <si>
    <t>DKK</t>
  </si>
  <si>
    <t>ISK</t>
  </si>
  <si>
    <t>EGP</t>
  </si>
  <si>
    <t>AED</t>
  </si>
  <si>
    <t>ALL</t>
  </si>
  <si>
    <t>AOA</t>
  </si>
  <si>
    <t>ARS</t>
  </si>
  <si>
    <t>AWG</t>
  </si>
  <si>
    <t>AZN</t>
  </si>
  <si>
    <t>BBD</t>
  </si>
  <si>
    <t>BHD</t>
  </si>
  <si>
    <t>BIF</t>
  </si>
  <si>
    <t>BND</t>
  </si>
  <si>
    <t>BOB</t>
  </si>
  <si>
    <t>BRL</t>
  </si>
  <si>
    <t>BSD</t>
  </si>
  <si>
    <t>BWP</t>
  </si>
  <si>
    <t>BZD</t>
  </si>
  <si>
    <t>CDF</t>
  </si>
  <si>
    <t>CLP</t>
  </si>
  <si>
    <t>CRC</t>
  </si>
  <si>
    <t>CUC</t>
  </si>
  <si>
    <t>CVE</t>
  </si>
  <si>
    <t>CZK</t>
  </si>
  <si>
    <t>DJF</t>
  </si>
  <si>
    <t>DZD</t>
  </si>
  <si>
    <t>EEK</t>
  </si>
  <si>
    <t>ERN</t>
  </si>
  <si>
    <t>ETB</t>
  </si>
  <si>
    <t>FJD</t>
  </si>
  <si>
    <t>FKP</t>
  </si>
  <si>
    <t>GIP</t>
  </si>
  <si>
    <t>GMD</t>
  </si>
  <si>
    <t>GYD</t>
  </si>
  <si>
    <t>HKD</t>
  </si>
  <si>
    <t>HNL</t>
  </si>
  <si>
    <t>HRK</t>
  </si>
  <si>
    <t>HTG</t>
  </si>
  <si>
    <t>HUF</t>
  </si>
  <si>
    <t>IQD</t>
  </si>
  <si>
    <t>IRR</t>
  </si>
  <si>
    <t>KGS</t>
  </si>
  <si>
    <t>KHR</t>
  </si>
  <si>
    <t>KMF</t>
  </si>
  <si>
    <t>KPW</t>
  </si>
  <si>
    <t>KRW</t>
  </si>
  <si>
    <t>KWD</t>
  </si>
  <si>
    <t>KYD</t>
  </si>
  <si>
    <t>LAK</t>
  </si>
  <si>
    <t>LBP</t>
  </si>
  <si>
    <t>LKR</t>
  </si>
  <si>
    <t>LRD</t>
  </si>
  <si>
    <t>LSL</t>
  </si>
  <si>
    <t>LTL</t>
  </si>
  <si>
    <t>LVL</t>
  </si>
  <si>
    <t>LYD</t>
  </si>
  <si>
    <t>MDL</t>
  </si>
  <si>
    <t>MMK</t>
  </si>
  <si>
    <t>MNT</t>
  </si>
  <si>
    <t>MOP</t>
  </si>
  <si>
    <t>MRO</t>
  </si>
  <si>
    <t>MVR</t>
  </si>
  <si>
    <t>MWK</t>
  </si>
  <si>
    <t>MXN</t>
  </si>
  <si>
    <t>MYR</t>
  </si>
  <si>
    <t>NIO</t>
  </si>
  <si>
    <t>NPR</t>
  </si>
  <si>
    <t>OMR</t>
  </si>
  <si>
    <t>PAB</t>
  </si>
  <si>
    <t>PEN</t>
  </si>
  <si>
    <t>PKR</t>
  </si>
  <si>
    <t>PLN</t>
  </si>
  <si>
    <t>QAR</t>
  </si>
  <si>
    <t>RON</t>
  </si>
  <si>
    <t>RWF</t>
  </si>
  <si>
    <t>SAR</t>
  </si>
  <si>
    <t>SBD</t>
  </si>
  <si>
    <t>SCR</t>
  </si>
  <si>
    <t>SDG</t>
  </si>
  <si>
    <t>SGD</t>
  </si>
  <si>
    <t>SHP</t>
  </si>
  <si>
    <t>SKK</t>
  </si>
  <si>
    <t>SOS</t>
  </si>
  <si>
    <t>STD</t>
  </si>
  <si>
    <t>SYP</t>
  </si>
  <si>
    <t>TJS</t>
  </si>
  <si>
    <t>TOP</t>
  </si>
  <si>
    <t>TRY</t>
  </si>
  <si>
    <t>TTD</t>
  </si>
  <si>
    <t>TWD</t>
  </si>
  <si>
    <t>UGX</t>
  </si>
  <si>
    <t>UYU</t>
  </si>
  <si>
    <t>UZS</t>
  </si>
  <si>
    <t>VND</t>
  </si>
  <si>
    <t>VUV</t>
  </si>
  <si>
    <t>WST</t>
  </si>
  <si>
    <t>XCD</t>
  </si>
  <si>
    <t>XPF</t>
  </si>
  <si>
    <t>ZWD</t>
  </si>
  <si>
    <t>MZN</t>
  </si>
  <si>
    <t>TMT</t>
  </si>
  <si>
    <t>VEF</t>
  </si>
  <si>
    <t>ZMW</t>
  </si>
  <si>
    <t>SSP</t>
  </si>
  <si>
    <t>AIM_Procurement__c.AIM_PQR_Response_LFA__c</t>
  </si>
  <si>
    <t>N/A</t>
  </si>
  <si>
    <t>AIM_Procurement__c.AIM_PQR_Response_PR__c</t>
  </si>
  <si>
    <t>AIM_Procurement__c.AIM_Expiry_Response_LFA__c</t>
  </si>
  <si>
    <t>AIM_Procurement__c.AIM_Stock_Out_Response_LFA__c</t>
  </si>
  <si>
    <t>AIM_Performance__c.AIM_Major_Issues_Identified_LFA__c</t>
  </si>
  <si>
    <t>N.A.</t>
  </si>
  <si>
    <t>AIM_Performance__c.AIM_Overall_Rating_LFA__c</t>
  </si>
  <si>
    <t>A1</t>
  </si>
  <si>
    <t>A2</t>
  </si>
  <si>
    <t>B1</t>
  </si>
  <si>
    <t>B2</t>
  </si>
  <si>
    <t>C</t>
  </si>
  <si>
    <t>AIM_Performance__c.AIM_Quantitative_Indicator_LFA__c</t>
  </si>
  <si>
    <t>AIM_Budget_Variance__c.AIM_Description__c</t>
  </si>
  <si>
    <t>PR total expenditures</t>
  </si>
  <si>
    <t>Disbursement to SRs</t>
  </si>
  <si>
    <t>Pharmaceutical Products</t>
  </si>
  <si>
    <t>Non-Pharmaceutical Products</t>
  </si>
  <si>
    <t>AIM_Quarterly_Cash_Forecast__c.AIM_Type__c</t>
  </si>
  <si>
    <t>PR</t>
  </si>
  <si>
    <t>LFA</t>
  </si>
  <si>
    <t>AIM_Grant_Requirement__c.AIM_Functional_Areas__c</t>
  </si>
  <si>
    <t>Other management issues, including: PR capacity to develop quality program</t>
  </si>
  <si>
    <t>AIM_Grant_Requirement__c.Annual_Grant_Reporting__Requirements.AIM_Functional_Areas__c</t>
  </si>
  <si>
    <t>AIM_Grant_Requirement__c.Findings_and_Recomendations.AIM_Functional_Areas__c</t>
  </si>
  <si>
    <t>AIM_Grant_Requirement__c.Grant_Requirements.AIM_Functional_Areas__c</t>
  </si>
  <si>
    <t>AIM_Grant_Requirement__c.Management_Actions.AIM_Functional_Areas__c</t>
  </si>
  <si>
    <t>AIM_Grant_Requirement__c.Master.AIM_Functional_Areas__c</t>
  </si>
  <si>
    <t>AIM_Grant_Requirement__c.AIM_Status_LFA__c</t>
  </si>
  <si>
    <t>AIM_Grant_Requirement__c.Annual_Grant_Reporting__Requirements.AIM_Status_LFA__c</t>
  </si>
  <si>
    <t>Not met</t>
  </si>
  <si>
    <t>AIM_Grant_Requirement__c.Findings_and_Recomendations.AIM_Status_LFA__c</t>
  </si>
  <si>
    <t>AIM_Grant_Requirement__c.Grant_Requirements.AIM_Status_LFA__c</t>
  </si>
  <si>
    <t>AIM_Grant_Requirement__c.Management_Actions.AIM_Status_LFA__c</t>
  </si>
  <si>
    <t>AIM_Grant_Requirement__c.Master.AIM_Status_LFA__c</t>
  </si>
  <si>
    <t>AIM_Grant_Requirement__c.AIM_Status_PR__c</t>
  </si>
  <si>
    <t>AIM_Grant_Requirement__c.Annual_Grant_Reporting__Requirements.AIM_Status_PR__c</t>
  </si>
  <si>
    <t>AIM_Grant_Requirement__c.Findings_and_Recomendations.AIM_Status_PR__c</t>
  </si>
  <si>
    <t>AIM_Grant_Requirement__c.Grant_Requirements.AIM_Status_PR__c</t>
  </si>
  <si>
    <t>AIM_Grant_Requirement__c.Management_Actions.AIM_Status_PR__c</t>
  </si>
  <si>
    <t>AIM_Grant_Requirement__c.Master.AIM_Status_PR__c</t>
  </si>
  <si>
    <t>AIM_Impact_Indicator__c.AIM_Baseline_Year__c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</si>
  <si>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</si>
  <si>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</si>
  <si>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</si>
  <si>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</si>
  <si>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</si>
  <si>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</si>
  <si>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</si>
  <si>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</si>
  <si>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</si>
  <si>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</si>
  <si>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</si>
  <si>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</si>
  <si>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</si>
  <si>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</si>
  <si>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</si>
  <si>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</si>
  <si>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</si>
  <si>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</si>
  <si>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</si>
  <si>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</si>
  <si>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</si>
  <si>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</si>
  <si>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</si>
  <si>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</si>
  <si>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AIM_Impact_Indicator_Targets_Results__c.AIM_Verification_Method_LFA__c</t>
  </si>
  <si>
    <t>Not Verified</t>
  </si>
  <si>
    <t>Desk Review</t>
  </si>
  <si>
    <t>Other</t>
  </si>
  <si>
    <t>AIM_Impact_Indicator_Targets_Results__c.AIM_Year_of_Target__c</t>
  </si>
  <si>
    <t>AIM_Impact_Indicator_Targets_Results__c.AIM_Year_of_Result_LFA__c</t>
  </si>
  <si>
    <t>AIM_Impact_Indicator_Targets_Results__c.AIM_Year_of_Result_PR__c</t>
  </si>
  <si>
    <t>AIM_Impact_Indicator_Targets_Results__c.AIM_Data_Source_Result_LFA__c</t>
  </si>
  <si>
    <t>HMIS</t>
  </si>
  <si>
    <t>Patient records</t>
  </si>
  <si>
    <t>Training records</t>
  </si>
  <si>
    <t>MICS (Multiple Indicator Cluster Survey)</t>
  </si>
  <si>
    <t>DHS/DHS+ (Demographic and Health Survey)</t>
  </si>
  <si>
    <t>AIS (AIDS Indicator Survey)</t>
  </si>
  <si>
    <t>BSS (Behavioral Surveillance Survey)</t>
  </si>
  <si>
    <t>Health Facility survey</t>
  </si>
  <si>
    <t>SAMS (Service Availability Mapping Survey)</t>
  </si>
  <si>
    <t>Households survey</t>
  </si>
  <si>
    <t>Specific surveys and research (specify)</t>
  </si>
  <si>
    <t>Reports (specify)</t>
  </si>
  <si>
    <t>Vital and disease-specific registry</t>
  </si>
  <si>
    <t>Operational Research</t>
  </si>
  <si>
    <t>Health Provider survey</t>
  </si>
  <si>
    <t>National Health Account</t>
  </si>
  <si>
    <t>Administrative records</t>
  </si>
  <si>
    <t>R&amp;R TB system, quarterly reports</t>
  </si>
  <si>
    <t>R&amp;R TB system, yearly management report </t>
  </si>
  <si>
    <t>TB prevalence survey</t>
  </si>
  <si>
    <t>TB patient register</t>
  </si>
  <si>
    <t>TB laboratory register</t>
  </si>
  <si>
    <t>TB treatment card</t>
  </si>
  <si>
    <t>Specify- Reports, Surveys, Questionnaires etc.</t>
  </si>
  <si>
    <t>MIS (Malaria Indicator Survey)</t>
  </si>
  <si>
    <t>Situation Analysis</t>
  </si>
  <si>
    <t>Key informant survey</t>
  </si>
  <si>
    <t>Surveillance systems</t>
  </si>
  <si>
    <t>Modelled</t>
  </si>
  <si>
    <t>Other survey, specify</t>
  </si>
  <si>
    <t>IBBS</t>
  </si>
  <si>
    <t>AIM_Impact_Indicator_Targets_Results__c.AIM_Data_Source_Result_PR__c</t>
  </si>
  <si>
    <t>AIM_Impact_Indicator_Targets_Results__c.AIM_Due_for_Reporting__c</t>
  </si>
  <si>
    <t>TBD</t>
  </si>
  <si>
    <t>AIM_Impact_Disaggregation__c.AIM_Baseline_Year__c</t>
  </si>
  <si>
    <t>AIM_Impact_Disagaggregation_Results__c.AIM_Result_Source_PR__c</t>
  </si>
  <si>
    <t>AIM_Impact_Disagaggregation_Results__c.AIM_Verified_Result_Source_LFA__c</t>
  </si>
  <si>
    <t>AIM_Outcome_Indicator__c.AIM_Baseline_Year__c</t>
  </si>
  <si>
    <t>AIM_Outcome_Indicator_Targets_Result__c.AIM_Verification_Method_LFA__c</t>
  </si>
  <si>
    <t>AIM_Outcome_Indicator_Targets_Result__c.AIM_Year_of_Target__c</t>
  </si>
  <si>
    <t>AIM_Outcome_Indicator_Targets_Result__c.AIM_Year_of_Result_LFA__c</t>
  </si>
  <si>
    <t>AIM_Outcome_Indicator_Targets_Result__c.AIM_Year_of_Result_PR__c</t>
  </si>
  <si>
    <t>AIM_Outcome_Indicator_Targets_Result__c.AIM_Data_Source_Result_LFA__c</t>
  </si>
  <si>
    <t>AIM_Outcome_Indicator_Targets_Result__c.AIM_Data_Source_Result_PR__c</t>
  </si>
  <si>
    <t>AIM_Outcome_Indicator_Targets_Result__c.AIM_Due_for_Reporting__c</t>
  </si>
  <si>
    <t>AIM_Outcome_Disaggregation__c.AIM_Baseline_Year__c</t>
  </si>
  <si>
    <t>AIM_Outcome_Disaggregation_Results__c.AIM_Result_Source_PR__c</t>
  </si>
  <si>
    <t>AIM_Outcome_Disaggregation_Results__c.AIM_Verified_Result_Source_LFA__c</t>
  </si>
  <si>
    <t>AIM_Coverage_Indicator__c.AIM_Geographic_Coverage__c</t>
  </si>
  <si>
    <t>National</t>
  </si>
  <si>
    <t>AIM_Coverage_Indicator__c.AIM_Cumulation_Type__c</t>
  </si>
  <si>
    <t>Non Cumulative - Other</t>
  </si>
  <si>
    <t>AIM_Coverage_Indicator__c.AIM_Year__c</t>
  </si>
  <si>
    <t>AIM_Coverage_Indicator_Targets_Results__c.AIM_Verification_Method_LFA__c</t>
  </si>
  <si>
    <t>AIM_Coverage_Indicator_Targets_Results__c.AIM_Data_Source_Result_LFA__c</t>
  </si>
  <si>
    <t>AIM_Coverage_Indicator_Targets_Results__c.AIM_Data_Source_Result_PR__c</t>
  </si>
  <si>
    <t>AIM_Coverage_Indicator_Targets_Results__c.AIM_Due_for_Reporting__c</t>
  </si>
  <si>
    <t>AIM_Coverage_Disaggregation__c.AIM_Year__c</t>
  </si>
  <si>
    <t>AIM_Coverage_Disaggregation_Result__c.AIM_Source_PR__c</t>
  </si>
  <si>
    <t>AIM_Coverage_Disaggregation_Result__c.AIM_LFA_Source__c</t>
  </si>
  <si>
    <t>AIM_WPTM_Results__c.AIM_Progress_Status_PR__c</t>
  </si>
  <si>
    <t>AIM_WPTM_Results__c.AIM_Progress_Status_LFA__c</t>
  </si>
  <si>
    <t>AIM_Opt_Ins__c.AIM_Tab_Name__c</t>
  </si>
  <si>
    <t>Impact Outcome Indicators_1A</t>
  </si>
  <si>
    <t>Disaggregation_1A</t>
  </si>
  <si>
    <t>Coverage Indicators_1B</t>
  </si>
  <si>
    <t>Disaggregation_1B</t>
  </si>
  <si>
    <t>WPTM_1C</t>
  </si>
  <si>
    <t>LFA Expenditure_7B</t>
  </si>
  <si>
    <t>Annual Cash Forecast_8A</t>
  </si>
  <si>
    <t>AIM_Opt_Ins__c.AIM_Type__c</t>
  </si>
  <si>
    <t>PR Reporting</t>
  </si>
  <si>
    <t>Cash Balance</t>
  </si>
  <si>
    <t>Tax Reporting</t>
  </si>
  <si>
    <t>PickListValue</t>
  </si>
  <si>
    <t>PickListKey</t>
  </si>
  <si>
    <t>Annual Grant Reporting  Requirements</t>
  </si>
  <si>
    <t>Annual_Grant_Reporting__Requirements</t>
  </si>
  <si>
    <t>Findings and Recomendations</t>
  </si>
  <si>
    <t>Findings_and_Recomendations</t>
  </si>
  <si>
    <t>Grant_Requirements</t>
  </si>
  <si>
    <t>Management Actions</t>
  </si>
  <si>
    <t>Management_Actions</t>
  </si>
  <si>
    <t>Master</t>
  </si>
  <si>
    <t>GF</t>
  </si>
  <si>
    <t>Disb - Final Forecast</t>
  </si>
  <si>
    <t>Subnational</t>
  </si>
  <si>
    <t>Cumulative Annually</t>
  </si>
  <si>
    <t>Non Cumulative</t>
  </si>
  <si>
    <t>PR Cash Reconciliation_2ABCD</t>
  </si>
  <si>
    <t>SR Cash Reconciliation_2E</t>
  </si>
  <si>
    <t>Budget Variance_2F</t>
  </si>
  <si>
    <t>Procurement_3</t>
  </si>
  <si>
    <t>Grant Management_4</t>
  </si>
  <si>
    <t>PR/LFA Evaluation_5</t>
  </si>
  <si>
    <t>LFA Findings and Recommendation_6</t>
  </si>
  <si>
    <t>PR Expenditure_7A</t>
  </si>
  <si>
    <t>Semi-Annual Cash Forecast_8AA</t>
  </si>
  <si>
    <t>Request and Recommendation_8B</t>
  </si>
  <si>
    <t>PR Authorization_9A</t>
  </si>
  <si>
    <t>LFA Authorization_9B</t>
  </si>
  <si>
    <t>Quarterly Cash Info_QFR1</t>
  </si>
  <si>
    <t>Tax Reporting_QFR2</t>
  </si>
  <si>
    <t>Financial Triggers_10</t>
  </si>
  <si>
    <t>Cash Forecast_8A</t>
  </si>
  <si>
    <t>a1Y36000002VIYcEAO</t>
  </si>
  <si>
    <t>GEO-T-NCDC</t>
  </si>
  <si>
    <t>LFA_Findings&amp;Recommendations_6</t>
  </si>
  <si>
    <t>PR-LFA Evaluation_5</t>
  </si>
  <si>
    <t>SR_Cash Reconciliation_2E</t>
  </si>
  <si>
    <t>PR Cash Reconciliation_2A,B,C,D</t>
  </si>
  <si>
    <t>Georgia</t>
  </si>
  <si>
    <t>National Center For Disease Control and Public Health</t>
  </si>
  <si>
    <t>Tuberculosis</t>
  </si>
  <si>
    <t>a1K36000002CzmrEAC</t>
  </si>
  <si>
    <t>01236000000OMQ7AAO</t>
  </si>
  <si>
    <t>a2R360000003hdeEAA</t>
  </si>
  <si>
    <t>a2Q36000000eyKhEAI</t>
  </si>
  <si>
    <t>TB I-3(M): TB mortality rate per 100,000 population</t>
  </si>
  <si>
    <t>6.6</t>
  </si>
  <si>
    <t>a1H36000003RuxSEAS</t>
  </si>
  <si>
    <t>TB I-4(M): RR-TB and/or MDR-TB prevalence among new TB patients: Proportion of new TB cases with RR-TB and/or MDR-TB</t>
  </si>
  <si>
    <t>11.60%</t>
  </si>
  <si>
    <t>a1H36000003RuxWEAS</t>
  </si>
  <si>
    <t>TB O-1a: Case notification rate of all forms of TB per 100,000 population - bacteriologically confirmed plus clinically diagnosed, new and relapse cases</t>
  </si>
  <si>
    <t>82.9</t>
  </si>
  <si>
    <t>a1W360000037lBQEAY</t>
  </si>
  <si>
    <t>TB O-4(M): Treatment success rate of RR TB and/or MDR-TB: Percentage of cases with RR and/or MDR-TB successfully treated</t>
  </si>
  <si>
    <t>43.00%</t>
  </si>
  <si>
    <t>a1W360000037lBUEAY</t>
  </si>
  <si>
    <t>TB O-5(M): TB treatment coverage: Percentage of new and relapse cases that were notified and treated among the estimated number of incident TB cases in the same year (all form of TB - bacteriologically confirmed plus clinically diagnosed)</t>
  </si>
  <si>
    <t>79.00%</t>
  </si>
  <si>
    <t>a1W360000037lBYEAY</t>
  </si>
  <si>
    <t>XDR TB</t>
  </si>
  <si>
    <t>TB case definition</t>
  </si>
  <si>
    <t>Disaggregation for target year 2017</t>
  </si>
  <si>
    <t>a1U36000002uvgFEAQ</t>
  </si>
  <si>
    <t>MDR-TB</t>
  </si>
  <si>
    <t>MDR TB-3(M): Number of cases with RR-TB and/or MDR-TB that began second-line treatment</t>
  </si>
  <si>
    <t>R&amp;R TB system, yearly management report</t>
  </si>
  <si>
    <t>a1736000004QVt4AAG</t>
  </si>
  <si>
    <t>MDR TB-other 2: Number of cases of XDR TB enrolled on treatment</t>
  </si>
  <si>
    <t>a1736000004QVt7AAG</t>
  </si>
  <si>
    <t>MDR TB other 1: Percentage  of new and relapse TB patients tested using WHO recommended rapid tests at the time of diagnosis</t>
  </si>
  <si>
    <t>a1736000004QVtAAAW</t>
  </si>
  <si>
    <t>New TB drugs</t>
  </si>
  <si>
    <t>TB regimen</t>
  </si>
  <si>
    <t>a1536000003nGIvAAM</t>
  </si>
  <si>
    <t>Short regimens</t>
  </si>
  <si>
    <t>a1536000003nGIyAAM</t>
  </si>
  <si>
    <t>Male</t>
  </si>
  <si>
    <t>Gender</t>
  </si>
  <si>
    <t>a1536000003nGJ1AAM</t>
  </si>
  <si>
    <t>U15</t>
  </si>
  <si>
    <t>Age</t>
  </si>
  <si>
    <t>a1536000003nGJ4AAM</t>
  </si>
  <si>
    <t>15+</t>
  </si>
  <si>
    <t>a1536000003nGJ7AAM</t>
  </si>
  <si>
    <t>Female</t>
  </si>
  <si>
    <t>a1536000003nGJAAA2</t>
  </si>
  <si>
    <t>RSSH: Community responses and systems</t>
  </si>
  <si>
    <t>Social mobilization, building community linkages, collaboration and coordination</t>
  </si>
  <si>
    <t>Setting up peer support groups in TB medical institutions</t>
  </si>
  <si>
    <t>4 peer support groups by 3 educators each established</t>
  </si>
  <si>
    <t>12 peer educators trained</t>
  </si>
  <si>
    <t>a1A360000013M0dEAE</t>
  </si>
  <si>
    <t>a1b360000017j1TAAQ</t>
  </si>
  <si>
    <t>No later than the start date of the Implementation Period, any unspent Grant Funds and any revenue and interest generated or accrued therefrom (including those held by the Sub recipient(s) and advances made to but not yet committed and liquidated by supplier(s) or service provider(s)) under the existing grant agreement for GEO-T-NCDC dated 20 June 2016 between the National Center For Disease Control and Public Health and the Global Fund (the “Previous Grant Agreement”) after taking into consideration the amount of Grant Funds needed to settle relevant outstanding commitments and liabilities under the Previous Grant Agreement(s), shall be transferred to the bank account designated for this Program (the “New Bank Account”), if different from the bank account designated under the Previous Grant Agreement. In the event that any refund or other income is received or, after relevant outstanding commitments and liabilities under the Previous Grant Agreement being settled and paid, any cash left in the bank account under the Previous Grant Agreement after the start date of the Implementation Period, the Grantee shall immediately (1) arrange for these funds to be transferred to the New Bank Account and (2) notify the Global Fund thereof.</t>
  </si>
  <si>
    <t>a1D36000003yCncEAE</t>
  </si>
  <si>
    <t>No later than the start date of the Implementation Period, all non-cash assets remaining under the Previous Grant Agreements are fully accounted for and duly documented in order for them to be included into the Program Assets, managed under the Program and governed by the terms of this Grant Agreement.</t>
  </si>
  <si>
    <t>a1D36000003yCndEAE</t>
  </si>
  <si>
    <t>All other requirements (including, but not limited to, those concerning financial and other reporting) are duly complied with in order for the Global Fund to financially and administratively close the Grant Funds provided under the Previous Grant Agreement according to the relevant Global Fund policy.</t>
  </si>
  <si>
    <t>a1D36000003yCneEAE</t>
  </si>
  <si>
    <t>No later than 30 June 2017, the Grantee shall, or the Grantee shall cause the CCM to,submit to the Global Fund, in form and substance satisfactory to the Global Fund, a detailed“Transition and Sustainability Plan and Budget” for the gradual governmental take-over, starting in2019, of Program activities to ensure the continued funding of essential services beyond the life ofthe current Grant Agreement.</t>
  </si>
  <si>
    <t>a1D36000003yCnfEAE</t>
  </si>
  <si>
    <t>The procurement of Health Products, including pharmaceuticals, with the Grant Funds shall, if sorequested by the Global Fund in its sole discretion for reasons of quality, efficiency, and/or valuefor money, be done through (1) the services of a suitably qualified procurement agent, (2) thepooled procurement mechanism (PPM), or (3) the online procurement platform operated by theGlobal Fund.</t>
  </si>
  <si>
    <t>a1D36000003yCngEAE</t>
  </si>
  <si>
    <t>The Grantee, acting through the Principal Recipient, shall obtain a prior written approval of theGlobal Fund for engagement of all technical assistance using the Grant Funds.</t>
  </si>
  <si>
    <t>a1D36000003yCnhEAE</t>
  </si>
  <si>
    <t>No later than 30 days prior to a scheduled cash transfer that includes the Grant Funds for theprocurement of MDR-TB medicines, the Grantee, acting through the Principal Recipient, shalldeliver to the Global Fund a pro forma invoice issued by the designated Procurement Agent of theGlobal Drug Facility, as delegated by the Green Light Committee Initiative.</t>
  </si>
  <si>
    <t>a1D36000003yCniEAE</t>
  </si>
  <si>
    <t>The Principal Recipient shall cooperate with the Green Light Committee (the “GLC”) in GLC’sefforts to provide technical support and assistance to the Principal Recipient with respect tomonitoring and the scaling-up of MDR-TB-related services provided in Georgia. Accordingly, thePrincipal Recipient shall budget and authorize the Global Fund to disburse up to a maximum ofUS$ 50,000, or such lower amount as may be agreed between the GLC and the Global Fund, eachyear to pay for the GLC services. The ToR of the mission to be agreed with the Global Fund.</t>
  </si>
  <si>
    <t>a1D36000003yCnjEAE</t>
  </si>
  <si>
    <t>No later than 30 June 2017, the Grantee, acting through the Principal Recipient, shall submit to theGlobal Fund a plan, describing the tuberculosis program coordination mechanisms, setting forthsegregation of the roles and responsibilities among the implementing entities. In addition, thePrincipal Recipient shall confirm (as verified by the LFA) that each Sub-recipient contract complieswith Articles 14, 18 (d) and 20 (a) of the Standard Terms and Conditions of this Agreement.</t>
  </si>
  <si>
    <t>a1D36000003yCnkEAE</t>
  </si>
  <si>
    <t>In accordance with the Global Fund Board Decision Point GF/B28/DP4, the commitment anddisbursement of 15% of the Grantee’s aggregate allocation of USD 56,454,091 for the 2014-2017allocation period, which is equal to USD 8,468,113 is subject to the Global Fund’s satisfaction withthe Grantee’s compliance with the Global Fund’s policies relating to counterpart financing.</t>
  </si>
  <si>
    <t>a1D36000003yCnlEAE</t>
  </si>
  <si>
    <t>1. Human Resources (HR)</t>
  </si>
  <si>
    <t>a2G36000001MKf5EAG</t>
  </si>
  <si>
    <t>2. Travel related costs (TRC)</t>
  </si>
  <si>
    <t>a2G36000001MKf4EAG</t>
  </si>
  <si>
    <t>3. External Professional services (EPS)</t>
  </si>
  <si>
    <t>a2G36000001MKf8EAG</t>
  </si>
  <si>
    <t>4. Health Products - Pharmaceutical Products (HPPP)</t>
  </si>
  <si>
    <t>a2G36000001MKfFEAW</t>
  </si>
  <si>
    <t>5. Health Products - Non-Pharmaceuticals (HPNP)</t>
  </si>
  <si>
    <t>a2G36000001MKf6EAG</t>
  </si>
  <si>
    <t>6. Health Products - Equipment (HPE)</t>
  </si>
  <si>
    <t>a2G36000001MKf2EAG</t>
  </si>
  <si>
    <t>7. Procurement and Supply-Chain Management costs (PSM)</t>
  </si>
  <si>
    <t>a2G36000001MKf9EAG</t>
  </si>
  <si>
    <t>8. Infrastructure (INF)</t>
  </si>
  <si>
    <t>a2G36000001MKfDEAW</t>
  </si>
  <si>
    <t>9. Non-health equipment (NHP)</t>
  </si>
  <si>
    <t>a2G36000001MKf7EAG</t>
  </si>
  <si>
    <t>10. Communication Material and Publications (CMP)</t>
  </si>
  <si>
    <t>a2G36000001MKfJEAW</t>
  </si>
  <si>
    <t>11. Programme Administration costs (PA)</t>
  </si>
  <si>
    <t>a2G36000001MKfCEAW</t>
  </si>
  <si>
    <t>12. Living support to client/ target population (LSCTP)</t>
  </si>
  <si>
    <t>a2G36000001MKfBEAW</t>
  </si>
  <si>
    <t>13. Payment for Results</t>
  </si>
  <si>
    <t>a2G36000001MKfNEAW</t>
  </si>
  <si>
    <t>Case detection and diagnosis: MDR-TB</t>
  </si>
  <si>
    <t>a2G36000001MKf0EAG</t>
  </si>
  <si>
    <t>Treatment: MDR-TB</t>
  </si>
  <si>
    <t>a2G36000001MKfAEAW</t>
  </si>
  <si>
    <t>a2G36000001MKfGEAW</t>
  </si>
  <si>
    <t>Payment for results</t>
  </si>
  <si>
    <t>a2G36000001MKfHEAW</t>
  </si>
  <si>
    <t>RSSH: Health management information systems and M&amp;E</t>
  </si>
  <si>
    <t>Other health information systems and M&amp;E intervention(s)</t>
  </si>
  <si>
    <t>a2G36000001MKfIEAW</t>
  </si>
  <si>
    <t>RSSH: Integrated service delivery and quality improvement</t>
  </si>
  <si>
    <t>Service organization and facility management</t>
  </si>
  <si>
    <t>a2G36000001MKfKEAW</t>
  </si>
  <si>
    <t>HSS - Policy and governance</t>
  </si>
  <si>
    <t>Development and implementation of health legislation, strategies and policies</t>
  </si>
  <si>
    <t>a2G36000001MKfLEAW</t>
  </si>
  <si>
    <t>Program management</t>
  </si>
  <si>
    <t>Grant management</t>
  </si>
  <si>
    <t>a2G36000001MKfMEAW</t>
  </si>
  <si>
    <t>National Center for Disease Control and Public Health</t>
  </si>
  <si>
    <t>GOV-OTH</t>
  </si>
  <si>
    <t>a2G36000001MKf1EAG</t>
  </si>
  <si>
    <t>TB Center</t>
  </si>
  <si>
    <t>a2G36000001MKf3EAG</t>
  </si>
  <si>
    <t>IDA FOUNDATION</t>
  </si>
  <si>
    <t>OTH-OTH</t>
  </si>
  <si>
    <t>a2G36000001MKfEEAW</t>
  </si>
  <si>
    <t>a4836000000gDG3AAM</t>
  </si>
  <si>
    <t>a4836000000gDG4AAM</t>
  </si>
  <si>
    <t>a4836000000gDG5AAM</t>
  </si>
  <si>
    <t>a4836000000gDG6AAM</t>
  </si>
  <si>
    <t>a4836000000gDG7AAM</t>
  </si>
  <si>
    <t>a4836000000gDG8AAM</t>
  </si>
  <si>
    <t>a4836000000gDG9AAM</t>
  </si>
  <si>
    <t>a4836000000gDGAAA2</t>
  </si>
  <si>
    <t>a4836000000gDGBAA2</t>
  </si>
  <si>
    <t>a4836000000gDGCAA2</t>
  </si>
  <si>
    <t>a4836000000gDGDAA2</t>
  </si>
  <si>
    <t>a4836000000gDGEAA2</t>
  </si>
  <si>
    <t>a4836000000gDGFAA2</t>
  </si>
  <si>
    <t>a4836000000gDGGAA2</t>
  </si>
  <si>
    <t>a4836000000gDGHAA2</t>
  </si>
  <si>
    <t>a4836000000gDGIAA2</t>
  </si>
  <si>
    <t>a4836000000gDGJAA2</t>
  </si>
  <si>
    <t>a4836000000gDGKAA2</t>
  </si>
  <si>
    <t>a4836000000gDGLAA2</t>
  </si>
  <si>
    <t>a4836000000gDGMAA2</t>
  </si>
  <si>
    <t>a4836000000gDGNAA2</t>
  </si>
  <si>
    <t>a4836000000gDGOAA2</t>
  </si>
  <si>
    <t>a4836000000gDGPAA2</t>
  </si>
  <si>
    <t>a4836000000gDGQAA2</t>
  </si>
  <si>
    <t>a4836000000gDGRAA2</t>
  </si>
  <si>
    <t>7.3</t>
  </si>
  <si>
    <t>a4836000000gDGSAA2</t>
  </si>
  <si>
    <t>a4836000000gDGTAA2</t>
  </si>
  <si>
    <t>a4836000000gDGUAA2</t>
  </si>
  <si>
    <t>a4836000000gDGVAA2</t>
  </si>
  <si>
    <t>a4836000000gDGWAA2</t>
  </si>
  <si>
    <t>a4836000000gDGXAA2</t>
  </si>
  <si>
    <t>a4836000000gDGYAA2</t>
  </si>
  <si>
    <t>2.</t>
  </si>
  <si>
    <t>a4836000000gDGZAA2</t>
  </si>
  <si>
    <t>3.</t>
  </si>
  <si>
    <t>a4836000000gDGaAAM</t>
  </si>
  <si>
    <t>4.</t>
  </si>
  <si>
    <t>a4836000000gDGbAAM</t>
  </si>
  <si>
    <t>5.</t>
  </si>
  <si>
    <t>a4836000000gDGcAAM</t>
  </si>
  <si>
    <t>a3y36000001h4xZAAQ</t>
  </si>
  <si>
    <t>a3y36000001h4xXAAQ</t>
  </si>
  <si>
    <t>a3y36000001h4xbAAA</t>
  </si>
  <si>
    <t>a3y36000001h4xjAAA</t>
  </si>
  <si>
    <t>a3y36000001h4xcAAA</t>
  </si>
  <si>
    <t>a3y36000001h4xYAAQ</t>
  </si>
  <si>
    <t>a3y36000001h4xdAAA</t>
  </si>
  <si>
    <t>a3y36000001h4xsAAA</t>
  </si>
  <si>
    <t>a3y36000001h4xfAAA</t>
  </si>
  <si>
    <t>a3y36000001h4xoAAA</t>
  </si>
  <si>
    <t>a3y36000001h4xhAAA</t>
  </si>
  <si>
    <t>a3y36000001h4xgAAA</t>
  </si>
  <si>
    <t>a3y36000001h4xtAAA</t>
  </si>
  <si>
    <t>a3y36000001h4xqAAA</t>
  </si>
  <si>
    <t>a3y36000001h4xVAAQ</t>
  </si>
  <si>
    <t>a3y36000001h4xeAAA</t>
  </si>
  <si>
    <t>a3y36000001h4xlAAA</t>
  </si>
  <si>
    <t>a3y36000001h4xrAAA</t>
  </si>
  <si>
    <t>a3y36000001h4xkAAA</t>
  </si>
  <si>
    <t>Analysis, review and transparency</t>
  </si>
  <si>
    <t>a3y36000001h4xmAAA</t>
  </si>
  <si>
    <t>a3y36000001h4xnAAA</t>
  </si>
  <si>
    <t>a3y36000001h4xpAAA</t>
  </si>
  <si>
    <t>a3y36000001h4xWAAQ</t>
  </si>
  <si>
    <t>a3y36000001h4xaAAA</t>
  </si>
  <si>
    <t>a3y36000001h4xiAAA</t>
  </si>
  <si>
    <t>a4A36000000oPFdEAM</t>
  </si>
  <si>
    <t>a4A36000000oPFfEAM</t>
  </si>
  <si>
    <t>a4A36000000oPFeEAM</t>
  </si>
  <si>
    <t>a4A36000000oPFgEAM</t>
  </si>
  <si>
    <t>a4A36000000oPFiEAM</t>
  </si>
  <si>
    <t>a4A36000000oPFhEAM</t>
  </si>
  <si>
    <t>a4A36000000oPFjEAM</t>
  </si>
  <si>
    <t>TIME-09074</t>
  </si>
  <si>
    <t>a2T36000001ZkyBEAS</t>
  </si>
  <si>
    <t>TIME-09075</t>
  </si>
  <si>
    <t>a2T36000001ZkyCEAS</t>
  </si>
  <si>
    <t>TIME-09076</t>
  </si>
  <si>
    <t>a2T36000001ZkyDEAS</t>
  </si>
  <si>
    <t>TIME-09077</t>
  </si>
  <si>
    <t>a2T36000001ZkyEEAS</t>
  </si>
  <si>
    <t>TIME-09078</t>
  </si>
  <si>
    <t>a2T36000001ZkyFEAS</t>
  </si>
  <si>
    <t>TIME-09079</t>
  </si>
  <si>
    <t>a2T36000001ZkyGEAS</t>
  </si>
  <si>
    <t>TB care and prevention</t>
  </si>
  <si>
    <t>MCI-00008</t>
  </si>
  <si>
    <t>a3z360000009C1sAAE</t>
  </si>
  <si>
    <t>TB/HIV</t>
  </si>
  <si>
    <t>MCI-00009</t>
  </si>
  <si>
    <t>a3z360000009C1tAAE</t>
  </si>
  <si>
    <t>MCI-00010</t>
  </si>
  <si>
    <t>a3z360000009C1uAAE</t>
  </si>
  <si>
    <t>MCI-00014</t>
  </si>
  <si>
    <t>a3z360000009C1vAAE</t>
  </si>
  <si>
    <t>RSSH: Human resources for health (HRH), including community health workers</t>
  </si>
  <si>
    <t>MCI-00015</t>
  </si>
  <si>
    <t>a3z360000009C1wAAE</t>
  </si>
  <si>
    <t>RSSH: Procurement and supply chain management systems</t>
  </si>
  <si>
    <t>MCI-00016</t>
  </si>
  <si>
    <t>a3z360000009C1xAAE</t>
  </si>
  <si>
    <t>RSSH: Financial management systems</t>
  </si>
  <si>
    <t>MCI-00019</t>
  </si>
  <si>
    <t>a3z360000009C20AAE</t>
  </si>
  <si>
    <t>MCI-00021</t>
  </si>
  <si>
    <t>a3z360000009C21AAE</t>
  </si>
  <si>
    <t>MCI-00022</t>
  </si>
  <si>
    <t>a3z360000009C22AAE</t>
  </si>
  <si>
    <t>MCI-00023</t>
  </si>
  <si>
    <t>a3z360000009C23AAE</t>
  </si>
  <si>
    <t>MCI-00024</t>
  </si>
  <si>
    <t>a3z360000009C24AAE</t>
  </si>
  <si>
    <t>RSSH: National health strategies</t>
  </si>
  <si>
    <t>MCI-00536</t>
  </si>
  <si>
    <t>a3z360000009C4CAAU</t>
  </si>
  <si>
    <t>MCI-00126</t>
  </si>
  <si>
    <t>Case detection and diagnosis</t>
  </si>
  <si>
    <t>a1O36000001EGHCEA4</t>
  </si>
  <si>
    <t>MCI-00127</t>
  </si>
  <si>
    <t>Treatment</t>
  </si>
  <si>
    <t>a1O36000001EGHDEA4</t>
  </si>
  <si>
    <t>MCI-00128</t>
  </si>
  <si>
    <t>Prevention</t>
  </si>
  <si>
    <t>a1O36000001EGHEEA4</t>
  </si>
  <si>
    <t>MCI-00129</t>
  </si>
  <si>
    <t>Engaging all care providers (TB care and prevention)</t>
  </si>
  <si>
    <t>a1O36000001EGHFEA4</t>
  </si>
  <si>
    <t>MCI-00130</t>
  </si>
  <si>
    <t>Community TB care delivery</t>
  </si>
  <si>
    <t>a1O36000001EGHGEA4</t>
  </si>
  <si>
    <t>MCI-00131</t>
  </si>
  <si>
    <t>Key populations (TB care and prevention) - Others</t>
  </si>
  <si>
    <t>a1O36000001EGHHEA4</t>
  </si>
  <si>
    <t>MCI-00132</t>
  </si>
  <si>
    <t>Collaborative activities with other programs and sectors (TB care and prevention)</t>
  </si>
  <si>
    <t>a1O36000001EGHIEA4</t>
  </si>
  <si>
    <t>MCI-00133</t>
  </si>
  <si>
    <t>Other TB care and prevention intervention(s)</t>
  </si>
  <si>
    <t>a1O36000001EGHJEA4</t>
  </si>
  <si>
    <t>MCI-00590</t>
  </si>
  <si>
    <t>Key populations (TB care and prevention) - Prisoners</t>
  </si>
  <si>
    <t>a1O36000001qZ8pEAE</t>
  </si>
  <si>
    <t>MCI-00591</t>
  </si>
  <si>
    <t>Removing human rights and gender related barriers to TB care and prevention</t>
  </si>
  <si>
    <t>a1O36000001qZ8qEAE</t>
  </si>
  <si>
    <t>MCI-00134</t>
  </si>
  <si>
    <t>TB/HIV collaborative interventions</t>
  </si>
  <si>
    <t>a1O36000001EGHKEA4</t>
  </si>
  <si>
    <t>MCI-00135</t>
  </si>
  <si>
    <t>Engaging all care providers (TB/HIV)</t>
  </si>
  <si>
    <t>a1O36000001EGHLEA4</t>
  </si>
  <si>
    <t>MCI-00136</t>
  </si>
  <si>
    <t>Community TB/HIV care delivery</t>
  </si>
  <si>
    <t>a1O36000001EGHMEA4</t>
  </si>
  <si>
    <t>MCI-00137</t>
  </si>
  <si>
    <t>Key populations (TB/HIV) - Others</t>
  </si>
  <si>
    <t>a1O36000001EGHNEA4</t>
  </si>
  <si>
    <t>MCI-00138</t>
  </si>
  <si>
    <t>Collaborative activities with other programs and sectors (TB/HIV)</t>
  </si>
  <si>
    <t>a1O36000001EGHOEA4</t>
  </si>
  <si>
    <t>MCI-00139</t>
  </si>
  <si>
    <t>Other TB/HIV intervention(s)</t>
  </si>
  <si>
    <t>a1O36000001EGHPEA4</t>
  </si>
  <si>
    <t>MCI-00581</t>
  </si>
  <si>
    <t>Key populations (TB/HIV) - Prisoners</t>
  </si>
  <si>
    <t>a1O36000001qZ8gEAE</t>
  </si>
  <si>
    <t>MCI-00582</t>
  </si>
  <si>
    <t>Removing human rights and gender related barriers to TB/HIV collaborative programming</t>
  </si>
  <si>
    <t>a1O36000001qZ8hEAE</t>
  </si>
  <si>
    <t>MCI-00142</t>
  </si>
  <si>
    <t>Prevention for MDR-TB</t>
  </si>
  <si>
    <t>a1O36000001EGHSEA4</t>
  </si>
  <si>
    <t>MCI-00143</t>
  </si>
  <si>
    <t>Engaging all care providers (MDR-TB)</t>
  </si>
  <si>
    <t>a1O36000001EGHTEA4</t>
  </si>
  <si>
    <t>MCI-00144</t>
  </si>
  <si>
    <t>Community MDR-TB care delivery</t>
  </si>
  <si>
    <t>a1O36000001EGHUEA4</t>
  </si>
  <si>
    <t>MCI-00145</t>
  </si>
  <si>
    <t>Key populations (MDR-TB) - Others</t>
  </si>
  <si>
    <t>a1O36000001EGHVEA4</t>
  </si>
  <si>
    <t>MCI-00146</t>
  </si>
  <si>
    <t>Collaborative activities with other programs and sectors (MDR-TB)</t>
  </si>
  <si>
    <t>a1O36000001EGHWEA4</t>
  </si>
  <si>
    <t>MCI-00147</t>
  </si>
  <si>
    <t>Other MDR-TB intervention(s)</t>
  </si>
  <si>
    <t>a1O36000001EGHXEA4</t>
  </si>
  <si>
    <t>MCI-00140</t>
  </si>
  <si>
    <t>a1O36000001EGHQEA4</t>
  </si>
  <si>
    <t>MCI-00141</t>
  </si>
  <si>
    <t>a1O36000001EGHREA4</t>
  </si>
  <si>
    <t>MCI-00592</t>
  </si>
  <si>
    <t>Key populations (MDR-TB) - Prisoners</t>
  </si>
  <si>
    <t>a1O36000001qZ8rEAE</t>
  </si>
  <si>
    <t>MCI-00593</t>
  </si>
  <si>
    <t>Removing human rights and gender related barriers to MDR-TB</t>
  </si>
  <si>
    <t>a1O36000001qZ8sEAE</t>
  </si>
  <si>
    <t>MCI-00170</t>
  </si>
  <si>
    <t>a1O36000001EGHuEAO</t>
  </si>
  <si>
    <t>MCI-00171</t>
  </si>
  <si>
    <t>Laboratory systems for disease prevention, control, treatment and disease surveillance</t>
  </si>
  <si>
    <t>a1O36000001EGHvEAO</t>
  </si>
  <si>
    <t>MCI-00172</t>
  </si>
  <si>
    <t>Improving service delivery infrastructure</t>
  </si>
  <si>
    <t>a1O36000001EGHwEAO</t>
  </si>
  <si>
    <t>MCI-00173</t>
  </si>
  <si>
    <t>Other service delivery intervention(s)</t>
  </si>
  <si>
    <t>a1O36000001EGHxEAO</t>
  </si>
  <si>
    <t>MCI-00601</t>
  </si>
  <si>
    <t>Supportive policy and programmatic environment</t>
  </si>
  <si>
    <t>a1O36000001qZ90EAE</t>
  </si>
  <si>
    <t>MCI-00602</t>
  </si>
  <si>
    <t>Provider initiated feedback mechanisms</t>
  </si>
  <si>
    <t>a1O36000001qZ91EAE</t>
  </si>
  <si>
    <t>MCI-00177</t>
  </si>
  <si>
    <t>Other health and community workforce intervention(s)</t>
  </si>
  <si>
    <t>a1O36000001EGI1EAO</t>
  </si>
  <si>
    <t>MCI-00174</t>
  </si>
  <si>
    <t>Capacity building for health workers, including those at community level</t>
  </si>
  <si>
    <t>a1O36000001EGHyEAO</t>
  </si>
  <si>
    <t>MCI-00175</t>
  </si>
  <si>
    <t>Retention and scale-up of health workers, including for community health workers</t>
  </si>
  <si>
    <t>a1O36000001EGHzEAO</t>
  </si>
  <si>
    <t>MCI-00178</t>
  </si>
  <si>
    <t>National costed supply chain master plan, and implementation</t>
  </si>
  <si>
    <t>a1O36000001EGI2EAO</t>
  </si>
  <si>
    <t>MCI-00179</t>
  </si>
  <si>
    <t>Supply chain infrastructure and development of tools</t>
  </si>
  <si>
    <t>a1O36000001EGI3EAO</t>
  </si>
  <si>
    <t>MCI-00180</t>
  </si>
  <si>
    <t>Other procurement supply chain management intervention(s)</t>
  </si>
  <si>
    <t>a1O36000001EGI4EAO</t>
  </si>
  <si>
    <t>MCI-00598</t>
  </si>
  <si>
    <t>Procurement strategy</t>
  </si>
  <si>
    <t>a1O36000001qZ8xEAE</t>
  </si>
  <si>
    <t>MCI-00599</t>
  </si>
  <si>
    <t>National product selection, registration and quality monitoring</t>
  </si>
  <si>
    <t>a1O36000001qZ8yEAE</t>
  </si>
  <si>
    <t>MCI-00187</t>
  </si>
  <si>
    <t>Public financial management (PFM) strengthening</t>
  </si>
  <si>
    <t>a1O36000001EGIBEA4</t>
  </si>
  <si>
    <t>MCI-00188</t>
  </si>
  <si>
    <t>Other financial management intervention(s)</t>
  </si>
  <si>
    <t>a1O36000001EGICEA4</t>
  </si>
  <si>
    <t>MCI-00603</t>
  </si>
  <si>
    <t>Routine financial management improvement (non-PFM)</t>
  </si>
  <si>
    <t>a1O36000001qZ92EAE</t>
  </si>
  <si>
    <t>MCI-00195</t>
  </si>
  <si>
    <t>Community-based monitoring</t>
  </si>
  <si>
    <t>a1O36000001EGIJEA4</t>
  </si>
  <si>
    <t>MCI-00196</t>
  </si>
  <si>
    <t>Community led advocacy</t>
  </si>
  <si>
    <t>a1O36000001EGIKEA4</t>
  </si>
  <si>
    <t>MCI-00197</t>
  </si>
  <si>
    <t>a1O36000001EGILEA4</t>
  </si>
  <si>
    <t>MCI-00198</t>
  </si>
  <si>
    <t>Institutional capacity building, planning and leadership development</t>
  </si>
  <si>
    <t>a1O36000001EGIMEA4</t>
  </si>
  <si>
    <t>MCI-00199</t>
  </si>
  <si>
    <t>Other community responses and systems intervention(s)</t>
  </si>
  <si>
    <t>a1O36000001EGINEA4</t>
  </si>
  <si>
    <t>MCI-00200</t>
  </si>
  <si>
    <t>Routine reporting</t>
  </si>
  <si>
    <t>a1O36000001EGIOEA4</t>
  </si>
  <si>
    <t>MCI-00201</t>
  </si>
  <si>
    <t>a1O36000001EGIPEA4</t>
  </si>
  <si>
    <t>MCI-00202</t>
  </si>
  <si>
    <t>Surveys</t>
  </si>
  <si>
    <t>a1O36000001EGIQEA4</t>
  </si>
  <si>
    <t>MCI-00203</t>
  </si>
  <si>
    <t>Administrative and finance data sources</t>
  </si>
  <si>
    <t>a1O36000001EGIREA4</t>
  </si>
  <si>
    <t>MCI-00204</t>
  </si>
  <si>
    <t>Vital registration system</t>
  </si>
  <si>
    <t>a1O36000001EGISEA4</t>
  </si>
  <si>
    <t>MCI-00205</t>
  </si>
  <si>
    <t>a1O36000001EGITEA4</t>
  </si>
  <si>
    <t>MCI-00600</t>
  </si>
  <si>
    <t>Program and data quality</t>
  </si>
  <si>
    <t>a1O36000001qZ8zEAE</t>
  </si>
  <si>
    <t>MCI-00206</t>
  </si>
  <si>
    <t>Policy, planning, coordination and management of national disease control programs</t>
  </si>
  <si>
    <t>a1O36000001EGIUEA4</t>
  </si>
  <si>
    <t>MCI-00207</t>
  </si>
  <si>
    <t>a1O36000001EGIVEA4</t>
  </si>
  <si>
    <t>MCI-00209</t>
  </si>
  <si>
    <t>Other program management intervention(s)</t>
  </si>
  <si>
    <t>a1O36000001EGIXEA4</t>
  </si>
  <si>
    <t>MCI-00210</t>
  </si>
  <si>
    <t>a1O36000001EGIYEA4</t>
  </si>
  <si>
    <t>MCI-00611</t>
  </si>
  <si>
    <t>National health strategies, alignment with disease-specific plans, health sector governance and financing</t>
  </si>
  <si>
    <t>a1O36000001qZ9AEAU</t>
  </si>
  <si>
    <t>MCI-00612</t>
  </si>
  <si>
    <t>Other policy and governance intervention(s)</t>
  </si>
  <si>
    <t>a1O36000001qZ9BEAU</t>
  </si>
  <si>
    <t>a2G36000001MKfOEAW</t>
  </si>
  <si>
    <t>a2G36000001MKfPEAW</t>
  </si>
  <si>
    <t>a2G36000001MKfQEAW</t>
  </si>
  <si>
    <t>a2G36000001MKfREAW</t>
  </si>
  <si>
    <t>a2G36000001MKfSEAW</t>
  </si>
  <si>
    <t>a2G36000001MKfTEAW</t>
  </si>
  <si>
    <t>a2G36000001MKfUEAW</t>
  </si>
  <si>
    <t>a2G36000001MKfVEAW</t>
  </si>
  <si>
    <t>a2G36000001MKfWEAW</t>
  </si>
  <si>
    <t>a2G36000001MKfXEAW</t>
  </si>
  <si>
    <t>a2G36000001MKfYEAW</t>
  </si>
  <si>
    <t>a2G36000001MKfZEAW</t>
  </si>
  <si>
    <t>a2G36000001MKfaEAG</t>
  </si>
  <si>
    <t>a2G36000001MKfbEAG</t>
  </si>
  <si>
    <t>a2G36000001MKfcEAG</t>
  </si>
  <si>
    <t>a3y36000001h4xuAAA</t>
  </si>
  <si>
    <t>a3y36000001h4xvAAA</t>
  </si>
  <si>
    <t>a3y36000001h4xwAAA</t>
  </si>
  <si>
    <t>a3y36000001h4xxAAA</t>
  </si>
  <si>
    <t>a3y36000001h4xyAAA</t>
  </si>
  <si>
    <t>a3y36000001h4xzAAA</t>
  </si>
  <si>
    <t>a3y36000001h4y0AAA</t>
  </si>
  <si>
    <t>a3y36000001h4y1AAA</t>
  </si>
  <si>
    <t>a3y36000001h4y2AAA</t>
  </si>
  <si>
    <t>a3y36000001h4y3AAA</t>
  </si>
  <si>
    <t>a3y36000001h4y4AAA</t>
  </si>
  <si>
    <t>a3y36000001h4y5AAA</t>
  </si>
  <si>
    <t>a3y36000001h4y6AAA</t>
  </si>
  <si>
    <t>a3y36000001h4y7AAA</t>
  </si>
  <si>
    <t>a3y36000001h4y8AAA</t>
  </si>
  <si>
    <t>a3y36000001h4y9AAA</t>
  </si>
  <si>
    <t>a3y36000001h4yAAAQ</t>
  </si>
  <si>
    <t>a3y36000001h4yBAAQ</t>
  </si>
  <si>
    <t>a3y36000001h4yCAAQ</t>
  </si>
  <si>
    <t>a3y36000001h4yDAAQ</t>
  </si>
  <si>
    <t>a3y36000001h4yEAAQ</t>
  </si>
  <si>
    <t>a3y36000001h4yFAAQ</t>
  </si>
  <si>
    <t>a3y36000001h4yGAAQ</t>
  </si>
  <si>
    <t>a3y36000001h4yHAAQ</t>
  </si>
  <si>
    <t>a3y36000001h4yIAAQ</t>
  </si>
  <si>
    <t>Human Resources (HR)</t>
  </si>
  <si>
    <t>a2C360000007DA3EAM</t>
  </si>
  <si>
    <t>Salaries - program management</t>
  </si>
  <si>
    <t>a2C360000007DA4EAM</t>
  </si>
  <si>
    <t>Salaries - outreach workers, medical staff and other service providers</t>
  </si>
  <si>
    <t>a2C360000007DAFEA2</t>
  </si>
  <si>
    <t>Performance based suppliments, incentives</t>
  </si>
  <si>
    <t>a2C360000007DAQEA2</t>
  </si>
  <si>
    <t>Other HR Costs</t>
  </si>
  <si>
    <t>a2C360000007DB5EAM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</si>
  <si>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</si>
  <si>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</si>
  <si>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</si>
  <si>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</si>
  <si>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</si>
  <si>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</si>
  <si>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</si>
  <si>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</si>
  <si>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Meeting/Advocacy related per diems/transport/other costs</t>
  </si>
  <si>
    <t>a2C360000007DB9EAM</t>
  </si>
  <si>
    <t>Other Transportation costs</t>
  </si>
  <si>
    <t>a2C360000007DB6EAM</t>
  </si>
  <si>
    <t>External Professional services (EPS)</t>
  </si>
  <si>
    <t>a2C360000007DBAEA2</t>
  </si>
  <si>
    <t>Technical Assistance Fees/Consultants</t>
  </si>
  <si>
    <t>a2C360000007DA5EAM</t>
  </si>
  <si>
    <t>Fiscal/Fiduciary Agent fees</t>
  </si>
  <si>
    <t>a2C360000007DA6EAM</t>
  </si>
  <si>
    <t>External audit fees</t>
  </si>
  <si>
    <t>a2C360000007DA7EAM</t>
  </si>
  <si>
    <t>Other external professional services</t>
  </si>
  <si>
    <t>a2C360000007DA8EAM</t>
  </si>
  <si>
    <t>Insurance related costs (EPS)</t>
  </si>
  <si>
    <t>a2C36000000vIr1EAE</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</si>
  <si>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</si>
  <si>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</si>
  <si>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</si>
  <si>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</si>
  <si>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</si>
  <si>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</si>
  <si>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</si>
  <si>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</si>
  <si>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substitution medicines</t>
  </si>
  <si>
    <t>a2C360000007DADEA2</t>
  </si>
  <si>
    <t>Opportunistic infections and STI medicines</t>
  </si>
  <si>
    <t>a2C360000007DAEEA2</t>
  </si>
  <si>
    <t>Private Sector subsidies for ACTs (co-payment to 4.3)</t>
  </si>
  <si>
    <t>a2C360000007DAGEA2</t>
  </si>
  <si>
    <t>Other medicines</t>
  </si>
  <si>
    <t>a2C360000007DAHEA2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</si>
  <si>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</si>
  <si>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</si>
  <si>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</si>
  <si>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</si>
  <si>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</si>
  <si>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</si>
  <si>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</si>
  <si>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</si>
  <si>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</si>
  <si>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</si>
  <si>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</si>
  <si>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</si>
  <si>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</si>
  <si>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</si>
  <si>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</si>
  <si>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</si>
  <si>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</si>
  <si>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</si>
  <si>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</si>
  <si>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</si>
  <si>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</si>
  <si>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</si>
  <si>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</si>
  <si>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</si>
  <si>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</si>
  <si>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</si>
  <si>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</si>
  <si>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</si>
  <si>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</si>
  <si>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</si>
  <si>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</si>
  <si>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</si>
  <si>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</si>
  <si>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</si>
  <si>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</si>
  <si>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</si>
  <si>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</si>
  <si>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</si>
  <si>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</si>
  <si>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</si>
  <si>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</si>
  <si>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</si>
  <si>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</si>
  <si>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</si>
  <si>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</si>
  <si>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</si>
  <si>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</si>
  <si>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</si>
  <si>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</si>
  <si>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</si>
  <si>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</si>
  <si>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</si>
  <si>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</si>
  <si>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</si>
  <si>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</si>
  <si>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</si>
  <si>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</si>
  <si>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</si>
  <si>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</si>
  <si>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</si>
  <si>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</si>
  <si>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</si>
  <si>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</si>
  <si>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</si>
  <si>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</si>
  <si>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</si>
  <si>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</si>
  <si>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</si>
  <si>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</si>
  <si>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</si>
  <si>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</si>
  <si>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</si>
  <si>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</si>
  <si>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</si>
  <si>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</si>
  <si>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</si>
  <si>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Programme Administration costs (PA)</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</si>
  <si>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</si>
  <si>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</si>
  <si>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</si>
  <si>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</si>
  <si>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</si>
  <si>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</si>
  <si>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</si>
  <si>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</si>
  <si>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</si>
  <si>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</si>
  <si>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</si>
  <si>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OVC Support (school fees, uniforms, books...)</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</si>
  <si>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</si>
  <si>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</si>
  <si>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</si>
  <si>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</si>
  <si>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</si>
  <si>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</si>
  <si>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</si>
  <si>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</si>
  <si>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</si>
  <si>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</si>
  <si>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a2C360000007DB7EAM</t>
  </si>
  <si>
    <t>a2C360000007DB8EAM</t>
  </si>
  <si>
    <t>Community systems strengthening</t>
  </si>
  <si>
    <t>3.4 Other external professional services</t>
  </si>
  <si>
    <t>2.1 Training related per diems/transport/other costs</t>
  </si>
  <si>
    <t>HSS - Health information systems and M&amp;E</t>
  </si>
  <si>
    <t>2.5 Other Transportation costs</t>
  </si>
  <si>
    <t>1.1 Salaries - program management</t>
  </si>
  <si>
    <t>1.2 Salaries - outreach workers, medical staff and other service providers</t>
  </si>
  <si>
    <t>2.3 Supervision/surveys/data collection related per diems/transport/other costs</t>
  </si>
  <si>
    <t>1.4 Other HR Costs</t>
  </si>
  <si>
    <t>7.4 In-country distribution costs</t>
  </si>
  <si>
    <t>9.3 Other non-health equipment</t>
  </si>
  <si>
    <t>11.1  Office related costs</t>
  </si>
  <si>
    <t>11.4 Other PA costs</t>
  </si>
  <si>
    <t>12.3 Cash incentives to patients/counsellors/mediators</t>
  </si>
  <si>
    <t>5.6 Laboratory reagents</t>
  </si>
  <si>
    <t>6.5 Maintenance and service costs for health equipment</t>
  </si>
  <si>
    <t>6.6 Other health equipment</t>
  </si>
  <si>
    <t>9.4 Maintenance and service costs non-health equipment</t>
  </si>
  <si>
    <t>Development and implementation of health legislation, stratgies and policies</t>
  </si>
  <si>
    <t>9.2 Vehicles</t>
  </si>
  <si>
    <t>2.4 Meeting/Advocacy related per diems/transport/other costs</t>
  </si>
  <si>
    <t>HSS - Service delivery</t>
  </si>
  <si>
    <t>8.2 Renovation/constructions</t>
  </si>
  <si>
    <t>Irma Khonelidze</t>
  </si>
  <si>
    <t>Program Director</t>
  </si>
  <si>
    <t>Advance Payment GEL 40,000 for 31/12/2017, which was expenses in January 2018 payment.</t>
  </si>
  <si>
    <t xml:space="preserve">Positive Variance of $1,828,367 is derived from activities that were budgeted in current reporting period versus the actual expenses. It consists of savings and postponed activities. Please note that the budget for reporting period doesn’t include the budget for Second Line Drugs (line 27, $766 075) due to the technical issues found in document by the PR. The issue was communicated with the FPM and the country team. Thus, the actual absorption capacity is less than 56.6%.
HR
Postponed:
$80 302 - under the HR category, there were several ‘national consultants’ included in the budget, namely consultants for infection control, legal framework and TB ethics, integration of TB and HIV/AIDS services into the wider health systems and consultant on results based financing (lines: 49, 56, 64, 94, 97), those consultants will be contracted during 2018-2019. 
Savings:
$28 049 – saving derived from the principle recipient’s HR budget (including HR involved in the administration of monetary incentives) (lines: 41 &amp; 98)
TRC
Postponed:
$161 012 – the main portion of postponed activities relate to the training of healthcare staff in TB management, the trainings are planned in 2018-2019 (lines: 14, 31, 58, 59, 60, 61, 62, 63, 65, 87, 95) 
Savings:
$36 623 – these include savings derived from the tender for service contracts (HIV and TB and Diabetes related trainings), attendance on international TB related events.
EPS
Postponed:
$287 661 – the main portion of the budget variance is derived from the NGO projects, namely projects related to improvement of treatment adherence and public awareness campaigns (Lines: 34, 55, 67, 83, 84, 85, 86, 89, 93, 96). The treatment adherence project started later during the year and will continue throughout 2018-2019 years.
Savings:
$29 603 – lines: (68, 103, 104) this includes direct disbursement to GLC to support its operations plus savings in financial audit and in the line for various activities.
HPPP
Negative variance -$35 139 is caused by direct disbursement of excessive funds to the IDA foundation, the funds will be kept on the IDA’s account and will be utilized during the next orders.
HPNP
Postponed:
$6 000 – procurement of IGRA tests (line 54) is postponed as the protocols are not yet available
Savings:
$141 274 – The savings on laboratory consumables and reagents (lines: 16 &amp; 17) were caused due to tender based lower cost.
HPE
Postponed:
$1 416 456 – it includes the equipment for active case finding (line 26), procurement of CT scan, portable X-ray unit and mobile diagnostic ambulatory van for Tbilisi and Adjara Zero TB initiative is planned in 2018. The postponed amount also includes the procurement of LED microscopies and UVGI devices (lines: 15 &amp; 50) as well as 19 GX machines 
Savings:
$68 179 – 19 additional warranties were purchased in 2017 though the budgeted amount exceeded the actual cost (line 11)
PSM
Savings:
$110 310 – the saving consists of the PSM costs related to 2nd line drugs and GX cartridges 
INF
Postponed
$197 561 second TB ambulatory is planned to be constructed in 2018
NHP
Savings:
$16 206 Savings are due to the lower cost derived from the tender
CMP
Savings:
$3 198 – there was no need to print the TB registers and forms in 2017
PA
Savings amounted $2 843
LSCTP
Savings:
$141 491 – The cash incentives for the vast majority of the M/XDR patients were covered by the state budget
</t>
  </si>
  <si>
    <t xml:space="preserve">The reporting period relates to activities performed by the SR, National Center for Tuberculosis and Lung Diseases for January-December period. Within the current reporting period SRs received payment for January –November 2017. Advance payments were paid with total amount of $40 000. 
The variance consists of A) differences between periods for which SRs were reimbursed and the budget periods (January–November 2017 vs. January – December 2016); B) savings in program implementation (main reasons: less amounts were spent per activities by SR, though it did not have impact on programmatic activities, Exchange rate impact, SR was identified through tender, thus resulting in savings); some activities were postponed or started with a delay, like ISO certification of NRL etc.
Please note that the SR budget for reporting period includes the budget for Second Line Drugs (line 27, $766 075). This technical issue of the document was found by the PR and was communicated with the FPM and the country team. Thus, the actual absorption capacity is more than 26.3% and equals to 54.6%
</t>
  </si>
  <si>
    <t xml:space="preserve">The Budget relates to the Pharmaceuticals procured through the IDA foundation (GDF) to be paid directly by The Global Fund
Negative variance (-$35 139) is caused by direct disbursement of excessive funds (accidently, due to the miscommunication) to the IDA foundation. The funds will be kept on the IDA’s account and will be utilized during the next orders.
</t>
  </si>
  <si>
    <t xml:space="preserve">The Budget relates to the Health product/equipment procured locally 
Positive variance $1 428 567 consists of:
HPNP
$6 000 – procurement of IGRA tests (line 54) is postponed as the protocols are not yet available and remaining amount consists of savings on laboratory consumables and reagents (lines: 16 &amp; 17) caused due to tender based lower cost.
HPE
the equipment for active case finding (line 26), procurement of CT scan, portable Xray unit and mobile diagnostic ambulatory van for Tbilisi and Adjara Zero TB initiative was postponed and is planned in 2018. The postponed amount also includes the procurement of LED microscopies and UVGI devices (lines: 15 &amp; 50) as well as 19 GeneXpert machines. $68 179 – 19 additional warranties were purchased in 2017 though the budgeted amount exceeded the actual cost (line 11)
</t>
  </si>
  <si>
    <t xml:space="preserve">All the info on applicable health products procurement within this reporting period was entered into 
the  PQR system.  
Following items procurement was processed and submitted accordingly:                   
1. Second line anti -Tb drugs procured through GDF/IDA under:
A.  PO  GF-H/ET/G-367
1. Bedaquiline  100 mg tab Bottle -188, 60 packs
2. Linezolid 600 mg tabs Blister-10,  5262 packs 
3. Linezolid 600 mg tabs, Bottle-20, 1000 packs
4. Clofazimine 100 mg caps, bottle – 100 , 763 packs
5. Amoxacillin+Clavulanate-FDC-500 mg/125 mg tab, blister 100-213 packs
6. Kanamycin 1g/4ml inj  , x10 – 446 packs
7. Levofloxacin 250 mg tabs Blister -1222 packs
8. Capreomycin 1 g powder for inj, vial-46327 packs 
9. Moxifloxacin 400 mg tabs , 476 packs
B. PO  GF-H/ET/G-454
1. Moxifloxacin 400 mg tabs ,   833 packs  
2. Cycloserine 250mg Caps  Blister-100,    3815 packs  
3. Capreomycin 1g powder for inj - 75332 packs  
4. Kanamycin 1g/4ml inj  , x10 – 572 packs
5. PAS Sodium5.52g (equiv 4g PAS) powder for oral sol/susp Sachet - 25 * 4g-3811 packs
4.   TB molecular diagnostics: 
       A. PO# GF-H/ET/G-403
      GenoType MTBDRs Version 2.0 [31796A] 96 tests; 18 packs  Hain Lifescience GmbH  
        GenoLyse V1 [51610], Hain Lifescience GmbH- 18 packs  Hain Lifescience GmbH  
        B.PO# GF –H/ET/G-471:
1. Cepheid Xpert MTS/RIF kit ( 10s, 50 s) [CGXMTBRIF] – 374 packs 
5. Molecular diagnostics equipment : 
          PO# GF-T/SSP/G-374
1. Cepheid GeneXpert IV system with desktop computer (two sites) [GXIV-2-D]-  12  units 
2. Cepheid GeneXpert Model GX-IV- 4 module Instrument with desktop [GXIV-4D]- 7 units 
</t>
  </si>
  <si>
    <t>About 65,000 sachets of PAS is expected to expire in coming 12 months. The issue was anticipated and communicated to GDF and the GF</t>
  </si>
  <si>
    <t>The obligation was fullfiled according to the Grant requirement.</t>
  </si>
  <si>
    <t xml:space="preserve">The TSP document has been developed and approved by the CCM. The TSP is planned to be integrated in the updated TB NSP for 2019-2022 </t>
  </si>
  <si>
    <t>Second Line anti-TB drugs were procured through the GDF</t>
  </si>
  <si>
    <t>N/A for the reporting period. PR will follow this requirement in case there will be a need for the TA</t>
  </si>
  <si>
    <t>The condition was met for procurement of the medicines for the
MDR-TB treatment in 2017 (orders to GDF as per approved quantifications by the GLC)</t>
  </si>
  <si>
    <t>The GLC fees were reflected in the GEO-T-NCDC Budget. GLC mission to Georgia took place on February  19-25, 2017 (rGLC EUROPE/Europe consultant Dr. Manfred Danilovits)</t>
  </si>
  <si>
    <t xml:space="preserve">The NSP 2016-2019 integrates proposed model of TB governance with costed operational strategies implying all necessary components of TB service delivery, including coordination mechanisms, with clear segregation of the roles and responsibilities among the implementing entities in Georgia
</t>
  </si>
  <si>
    <t xml:space="preserve">The first year of the NFM TB program implementation went in-line with planned objectives, activities and timelines. Absolute numbers of notified TB cases continued to show the trend of decrease in 2017 the latter influenced one of the coverage indicators, namely the number of cases with RR-TB and/or MDR-TB that began second line treatment is relatively low compared to the target, whereas the results of other indicators are close to planned targets. Uninterrupted supply of treatment and diagnostic services to TB patients, as well as supervision and monitoring processes were well-maintained. TB-SSF grant has been closed following respective close-out procedures. 
Many activities included in the TB-SSF grant and performed routinely under the previous programs were moved into the NFM, including, but not limited to:
- Procurement of second line anti-TB drugs. 2017 was the first year when state budget covered 25% cost of the second line drugs. Enrollment of patients on the new TB treatment continued in 2017 and the routine programmatic implementation of Bedaquiline along with Delamanid is steadily progressing in Georgia.
- Procurement of lab reagents and consumables. 19 additional GeneXpert machines were procured at the end of 2016 and were installed in health facilities in 2017. This initial TB testing method is now available at several TB treatment delivery points. More proactive work should be done in 2018 to improve the uptake of the testing of presumptive TB cases.
- Provision of cash incentive scheme for regular and resistant TB cases
- Some key interventions under the NFM were provided by the SR, National Center for Tuberculosis and Lung Diseases, including the monitoring of the TB service providers, distribution of the anti-TB drugs to the regions of Georgia, maintaining the electronic TB database etc.
The innovative projects were supported in 2017 under the NFM grant and several new initiatives were launched:
- Video Observed Treatment (VOT), the total number of M/XDR-TB patients enrolled on this mode of treatment reached 71 by the end of the year. The patients are taking TB drugs with the direct supervision of nurse during the video call in Skype. Due to the increased demand of patients to enroll in the VOT, the mobile application was developed by the end of 2017. Currently application is piloted and later team plans to enroll as many patients as possible on VOT using the application throughout the country.
- Treatment adherence support project under the NGO projects. 5 groups of multidisciplinary teams comprised of psychologist, social worker and former patient are working with the M/XDR-TB patients who are on ambulatory treatment. This is the first attempt in the country to involve the patient organization into the implementation of the TB program. Project has ambitious targets and the PIU team will evaluate those targets by its completion. 
- Extension for Community Healthcare Outcomes (ECHO) is another innovative project that started by the end of 2016 and continued in 2017, it is a collaborative model of medical education and care management that provides healthcare professionals with the knowledge and support their need to manage patients with TB. Using teleconference technology, it incorporates case review, consultation, and didactics for clinicians working with TB. First TB ECHO session was conducted in December 2017. There were some technical issues identified during the first session and the team is taking care of it. The full coverage of the TB ECHO is planned in 2018
- Innovative project in Samegrelo Zemo Svaneti region was launched in September 2017, which includes the training of the primary healthcare personnel in detecting three infectious diseases: TB, HIV and Hepatitis C. the implementing organization has been selected by the competitive tender.
- By the end of the year, the team at the PIU planned and designed the Zero TB Initiative project, in one of the regions of Georgia, Adjara Autonomous Republic. Launched in July 2016 by a consortium of global partners under the auspices of the Stop TB Partnership, the Zero TB Initiative aims to bring the global TB epidemic into the elimination phase by focusing on local government participation to drive and maintain successes against the disease in multiple locations. To achieve this goal, the initiative facilitates interaction between implementing partners working in specific geographically defined areas, that are ambitiously tackling TB by prioritizing a comprehensive set of activities aimed at improved TB case detection, care and prevention. Adjara was chosen because of the higher rates of TB prevalence, compared to the national rates and due to the commitment of the local government to co-fund the initiative. 
Financial management: To accomplish set objectives two components can be outlined a) external to Georgia - communication with the donor (GFATM), and b) internal to Georgia – communication and reporting with the Ministries of Health and Finance, with NCDC, state statistics department, tax authorities, state revenue service, suppliers, service providers, etc. The former is smooth and efficient, which helps the stable and robust operations. PR has met all of the donor’s requests on the provision of financial and/or operational data. The PR has successfully procured audit service for the year 2017 through tender and contract is signed with BDO for whole NFM Grant period. The Audit of Consolidated financial statements is ongoing and as agreed audit report will be submitted on time. 
During the current reporting period under the NFM Grant the following disbursements were carried out by TGF:  PR received USD 3,953 K worth of two transfer and vendors through direct payment received USD 879 K. 
PR paid total of USD 2,773 K to the vendors/providers/patients during the current reporting period.
PR manages VAT smoothly. The total refunded amount during the year 2017 comprise USD 32 K. The surplus of refundable VAT on the State Revenue Service system amounts USD 37 K as of 31/12/2017 and additional USD 3K is submitted as surplus in the first quarter of the year 2018.
PR effectively manages TB Cash Incentive Scheme. Total cash incentives paid in the current reporting period is USD 130 K (in addition USD 110 K was financed through the state budget and monthly 300 MDR patients) and covered period through December 2016 - November 2017, for both MDR and sensitive TB patients.
</t>
  </si>
  <si>
    <t>UNOPS</t>
  </si>
  <si>
    <t>The figure is based on the latest WHO estimate for 2016 (4.8 per 100,000; excluding HIV)</t>
  </si>
  <si>
    <t>The indicator is overachieved due to improved detection and adherence</t>
  </si>
  <si>
    <t>The indicator reflects the overall trand of decreasing TB incidence in the county. The number of screened individuals and diagnostic tests have not decreased.</t>
  </si>
  <si>
    <t>The target was not achieved, however reflects the first positive change after several year negative trend. Treatment success rate of XDR TB reached 32% pointing at substantial improvement compared to baseline 21,4%.</t>
  </si>
  <si>
    <t>The indicator is given for 2016, the latest available in Global TB Report 2017</t>
  </si>
  <si>
    <t xml:space="preserve">The indicator is less than planned due to the overall trend of decreasing TB and MDR TB cases </t>
  </si>
  <si>
    <t>The indicator is less than planned due to the overall trend of decreasing cases and improved DR TB treatment with new drugs</t>
  </si>
  <si>
    <t>Xpert systems are available countrywide and approved as a first line diagnostic method by the national guideline, therefore the indicator is overachieved</t>
  </si>
  <si>
    <t xml:space="preserve">The gender distribution of cases that began second line treatment corresponds the general gender distribution of the disease </t>
  </si>
  <si>
    <t>The share of patients under 15 is still low, however increased as compared to baseline</t>
  </si>
  <si>
    <t>The share of patients 15+ decreased compared to baseline</t>
  </si>
  <si>
    <t>New drugs are available for all eligible patients within the national TB program</t>
  </si>
  <si>
    <t>The programmatic use of short-term regimes is planned to be introduced from 2018 following the approval of the updated guideline by the Ministry of Labour, Health and Social Affairs</t>
  </si>
  <si>
    <t>The peer educators trained as planned, including former patients and their family members  (as part of NGO project "MDR TB patient support for improved treatment adherence"), and religious leards (as part of education compaign in collaboration with Georgian Orthodox Church).</t>
  </si>
  <si>
    <t xml:space="preserve">PR - Postponed: $80 302 - under the HR category, there were several ‘national consultants’ included in the budget, namely consultants for infection control, legal framework and TB ethics, integration of TB and HIV/AIDS services into the wider health systems and consultant on results based financing (lines: 49, 56, 64, 94, 97), those consultants will be contracted during 2018-2019. 
Savings: $28 049 – saving derived from the principle recipient’s HR budget (including HR involved in the administration of monetary incentives) (lines: 41 &amp; 98)
SR – Saving in HR cost equals to $82 786
</t>
  </si>
  <si>
    <t xml:space="preserve">PR - Postponed: $161 012 – the main portion of postponed activities relate to the training of healthcare staff in TB management, the trainings are planned in 2018-2019 (lines: 14, 31, 58, 59, 60, 61, 62, 63, 65, 87, 95) 
Savings: $36 623 – these include savings derived from the tender for service contracts (HIV and TB and Diabetes related trainings), attendance on international TB related events.
SR – positive variance $71 624 is caused by the delay in implementation of activities related to the ISO accreditation of the National Reference Laboratory. As well as saving in the lines related to the participation in international trainings by the NCTLD staff
</t>
  </si>
  <si>
    <t xml:space="preserve">PR - Postponed: $287 661 – the main portion of the budget variance is derived from the NGO projects, namely projects related to improvement of treatment adherence and public awareness campaigns (Lines: 34, 55, 67, 83, 84, 85, 86, 89, 93, 96). The treatment adherence project started later during the year and will continue throughout 2018-2019 years.
Savings: $29 603 – lines: (68, 103, 104) this includes direct disbursement to GLC to support its operations plus savings in financial audit and in the line for various activities.
SR – $24 367 – positive variance is again associated with the ISO accreditation of the NRL, which was delayed and is planned to be completed in 2018. Specific budget under this category was allocated for the international technical consultant.
</t>
  </si>
  <si>
    <t xml:space="preserve">PR- Postponed: $6 000 – procurement of IGRA tests (line 54) is postponed as the protocols are not yet available
Savings: $141 274 – The savings on laboratory consumables and reagents (lines: 16 &amp; 17) were caused due to tender based lower cost.
</t>
  </si>
  <si>
    <t xml:space="preserve">PR - Postponed: $1 416 456 – it includes the equipment for active case finding (line 26), procurement of CT scan, portable X-ray unit and mobile diagnostic ambulatory van for Tbilisi and Adjara Zero TB initiative is planned in 2018. The postponed amount also includes the procurement of LED microscopies and UVGI devices (lines: 15 &amp; 50) as well as 19 GX machines 
Savings: $68 179 – 19 additional warranties were purchased in 2017 though the budgeted amount exceeded the actual cost (line 11)
</t>
  </si>
  <si>
    <t xml:space="preserve">PR - Savings: $110 310 – the saving consists of the PSM costs related to 2nd line drugs and GX cartridges </t>
  </si>
  <si>
    <t>PR - Postponed: $197 561 second TB ambulatory is planned to be constructed in 2018</t>
  </si>
  <si>
    <t xml:space="preserve">PR - Savings: $16 206 Savings are due to the lower cost derived from the tender
SR – $19 299 is derived from the savings out of the budget line related to insurance of new vehicles, as the cars were delivered in November 2017
</t>
  </si>
  <si>
    <t>PR - there was no need to print the TB registers and forms in 2017 that resulted in savings amounted $3 198</t>
  </si>
  <si>
    <t xml:space="preserve">PR - Savings: $141 491 – The cash incentives for the vast majority of the M/XDR patients were covered by the state budget
SR - savings from the reimbursement of transportation related costs for the M/XDR-TB patients 
</t>
  </si>
  <si>
    <t>Positive variance is mainly caused by the postponed procurement of health products and equipment ($1 337 385) which includes the equipment for active case finding (line 26), procurement of CT scan, portable X-ray unit and mobile diagnostic ambulatory van for Tbilisi and Adjara Zero TB initiative (currently discussed with the country team) and related PSM costs. Also, savings ($141 274) on laboratory consumables and reagents (lines: 16 &amp; 17) due to tender based lower cost.</t>
  </si>
  <si>
    <t>Positive variance is caused by the combination of the several factors: savings due to the tender based procurement (mainly service contracts under this interventions), postponed activities, such as procurement of IGRA tests and training of the healthcare workers in TB management</t>
  </si>
  <si>
    <t>the main portion of the positive variance is derived from the budget allocated for the NGO projects, namely projects related to improvement of treatment adherence and public awareness campaigns. This is mainly because the treatment adherence project started later during the year and will continue throughout 2018-2019 years, tender based procurement also contributed to the lower cost of the contracts.</t>
  </si>
  <si>
    <t>Savings, resulted by the tender based procurement</t>
  </si>
  <si>
    <t>The activities under this intervention (mainly integration of TB and HIV/AIDS services into the wider health systems) were postponed to the next year</t>
  </si>
  <si>
    <t>The positive variance is caused by the savings resulted from tender based procurement and the savings derived from the PIU HR related budget</t>
  </si>
  <si>
    <t xml:space="preserve">Activities were postphoned to following periods. </t>
  </si>
  <si>
    <t>NCDC - Positive Variance is derived from activities that were budgeted in current reporting period versus the actual expenses. It consists of savings and postponed activities. The substantial portion of positive variance is caused by the postponed procurement of health products and equipment which includes the equipment for active case finding, procurement of CT scan, portable X-ray unit and mobile diagnostic ambulatory van for Tbilisi and Adjara Zero TB initiative (currently discussed with the country team) and related PSM costs, as well as savings on laboratory consumables and reagents due to tender based lower cost</t>
  </si>
  <si>
    <t>NCTLD - Positive Variance is derived from activities that were budgeted in current reporting period versus the actual expenses. It consists of savings and postponed activities. The substantial portion of positive variance is caused by the delay in implementation of activities related to the ISO accreditation of the National Reference Laboratory, which is planned in 2018, as well as savings in budget line related to the participation of the NCTLD staff in international trainings and savings from the transportation related costs for M/XDR-TB patients (due to the decreased absolute number of cases)</t>
  </si>
  <si>
    <t>Bank Fee</t>
  </si>
  <si>
    <t>12/31/18</t>
  </si>
  <si>
    <t>1/31/2018</t>
  </si>
  <si>
    <t>The amount of disbursement to SR for the comittments completed in December</t>
  </si>
  <si>
    <t>National consultants, strengthening NRL quality management system / support to ISO accreditation</t>
  </si>
  <si>
    <t>Diagnostic counseling and testing for HIV among TB patients - This line supports remuneration of health workers</t>
  </si>
  <si>
    <t>Operational research support to introduction of shorter MDR-TB treatment regimens; including introduction of ECHO in TB Clinical Management</t>
  </si>
  <si>
    <t>Clinical supervision of implementation of new drugs and treatment regimens for M/XDR-TB: mobile consilium</t>
  </si>
  <si>
    <t>Enablers for TB patients</t>
  </si>
  <si>
    <t>Enablers for health care staff - PHC DOT nurses</t>
  </si>
  <si>
    <t xml:space="preserve">Administration of monetary incentives </t>
  </si>
  <si>
    <t>Mobile technologies for adherence support (demonstration projects)</t>
  </si>
  <si>
    <t>Central NTP supervision</t>
  </si>
  <si>
    <t>Regional NTP supervision</t>
  </si>
  <si>
    <t>National consultants, TB information system</t>
  </si>
  <si>
    <t>Human resources support to program supervision, M&amp;E</t>
  </si>
  <si>
    <t>Maintenance and servicing/warranty Xpert MTB/RIF instruments</t>
  </si>
  <si>
    <t>Lab Reagents</t>
  </si>
  <si>
    <t>Mobile MMR equipment for active case finding and other equipment</t>
  </si>
  <si>
    <t>SLD</t>
  </si>
  <si>
    <t>Enablers for health care staff - PHC DOT nurses fuel</t>
  </si>
  <si>
    <t>Training in TB and diabetes management</t>
  </si>
  <si>
    <t>NGO projects: innovative approaches in adherence support</t>
  </si>
  <si>
    <t>NGO projects: peer support groups for TB patients in medical institutions</t>
  </si>
  <si>
    <t>National NGO workshops on TB control, civil society involvement and community response</t>
  </si>
  <si>
    <t>Regional NTP supervision and Mobile Consilium</t>
  </si>
  <si>
    <t>NTP supervision in the penitentiary system</t>
  </si>
  <si>
    <t>fuel</t>
  </si>
  <si>
    <t>office cost</t>
  </si>
  <si>
    <t>Maintenance costs</t>
  </si>
  <si>
    <t>Agreement GF-T/SET/S-416</t>
  </si>
  <si>
    <t>Agreement GF-T/ET/G-431, GF-T/ET/G-491</t>
  </si>
  <si>
    <t>Agreement GF-T/ET/S-510</t>
  </si>
  <si>
    <t>Training of TB service staff in HIV counseling and testing (at central level)</t>
  </si>
  <si>
    <t>Training of TB service staff in HIV counseling and testing (at regional / district level)</t>
  </si>
  <si>
    <t xml:space="preserve">Training of health care managers in priority issues of TB control </t>
  </si>
  <si>
    <t>Training of PHC providers in TB control (at regional level)</t>
  </si>
  <si>
    <t>Cars for public health centers and regional NTP staff</t>
  </si>
  <si>
    <t>Public awareness campaigns on TB control and prevention</t>
  </si>
  <si>
    <t>Development of TB informational and educational materials</t>
  </si>
  <si>
    <t>ACSM activities during the World TB Days</t>
  </si>
  <si>
    <t>Enhancing the integration of TB and HIV/AIDS services into the wider health system and across the care continuum</t>
  </si>
  <si>
    <t>stationary</t>
  </si>
  <si>
    <t>Establishment of DOT Center</t>
  </si>
  <si>
    <t>SR 2018 Contract</t>
  </si>
  <si>
    <t>External technical assistance, strengthening NRL quality management system / support to ISO accreditation</t>
  </si>
  <si>
    <t>International training, strengthening NRL quality management system / support to ISO accreditation</t>
  </si>
  <si>
    <t>Training of staff, strengthening NRL quality management system / support to ISO accreditation</t>
  </si>
  <si>
    <t>2.2 Technical Assistance related per diems/transport/other costs</t>
  </si>
  <si>
    <t>Training of NRL staff in advanced laboratory techniques abroad</t>
  </si>
  <si>
    <t>National consultants, development of national TB screening guidelines</t>
  </si>
  <si>
    <t>Training in drug management, international</t>
  </si>
  <si>
    <t>National consultants, development of national LTBI management guidelines and protocol</t>
  </si>
  <si>
    <t>Training on LTBI diagnosis and preventive treatment for general health care providers (at central level)</t>
  </si>
  <si>
    <t>NTP program coordination meetings</t>
  </si>
  <si>
    <t>National consultants, TB information system; Human resources support to program supervision, M&amp;E</t>
  </si>
  <si>
    <t>Vehicles' maintenance and insurance</t>
  </si>
  <si>
    <t>USD 428,004 was transferred from SSF Grant. USD 299,116 beginning cash of SSF Grant</t>
  </si>
  <si>
    <t>Expenses related to SSF grant close out period.</t>
  </si>
  <si>
    <t>Includes SSF grant close out period cash balance GEL 265,896.13</t>
  </si>
  <si>
    <t>Saving from tender based service procurement</t>
  </si>
  <si>
    <t>N/A for the reporting period. Report on state expenditures will be available in 2nd Quarter.</t>
  </si>
  <si>
    <t>Agreement GF-T/ET/S-448</t>
  </si>
  <si>
    <t>Agreement GF-T/ET/S-400</t>
  </si>
  <si>
    <t>Agreement GF-T/SET/S-462</t>
  </si>
  <si>
    <t>Agreement GF-H-T/CON/G-401</t>
  </si>
  <si>
    <t>Agreement GF-H-T/CON/G-400</t>
  </si>
  <si>
    <t>Agreement GF-T/ET/S-456</t>
  </si>
  <si>
    <t>Agreement GF-H-T/ET/S-429</t>
  </si>
  <si>
    <t>Agreement GF-H-T/ET/S-408</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</si>
</sst>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quot;$&quot;#,##0_);[Red]\(&quot;$&quot;#,##0\)"/>
    <numFmt numFmtId="165" formatCode="&quot;$&quot;#,##0.00_);[Red]\(&quot;$&quot;#,##0.00\)"/>
    <numFmt numFmtId="166" formatCode="_(&quot;$&quot;* #,##0.00_);_(&quot;$&quot;* \(#,##0.00\);_(&quot;$&quot;* &quot;-&quot;??_);_(@_)"/>
    <numFmt numFmtId="167" formatCode="_(* #,##0.00_);_(* \(#,##0.00\);_(* &quot;-&quot;??_);_(@_)"/>
    <numFmt numFmtId="168" formatCode="_ * #,##0.00_ ;_ * \-#,##0.00_ ;_ * &quot;-&quot;??_ ;_ @_ "/>
    <numFmt numFmtId="169" formatCode="_ * #,##0_ ;_ * \-#,##0_ ;_ * &quot;-&quot;??_ ;_ @_ "/>
    <numFmt numFmtId="170" formatCode="#,##0.00;[Red]\(#,##0.00\)"/>
    <numFmt numFmtId="171" formatCode="[$-409]d\-mmm\-yy;@"/>
    <numFmt numFmtId="172" formatCode="[$-809]dd\ mmmm\ yyyy;@"/>
    <numFmt numFmtId="173" formatCode="_(* #,##0_);_(* \(#,##0\);_(* &quot;-&quot;??_);_(@_)"/>
    <numFmt numFmtId="174" formatCode="0.0%"/>
    <numFmt numFmtId="175" formatCode="#,##0.0000"/>
    <numFmt numFmtId="176" formatCode="#,##0.00000"/>
    <numFmt numFmtId="177" formatCode="#,##0;[Red]#,##0"/>
    <numFmt numFmtId="178" formatCode="&quot;$&quot;#,##0"/>
    <numFmt numFmtId="179" formatCode="0.000000"/>
    <numFmt numFmtId="180" formatCode="0.00##\%;[Red]\(0.00##\%\)"/>
    <numFmt numFmtId="181" formatCode="#,##0.00####"/>
    <numFmt numFmtId="182" formatCode="#,##0.00_ ;[Red]\-#,##0.00\ "/>
    <numFmt numFmtId="183" formatCode="#,##0.0_ ;[Red]\-#,##0.0\ "/>
    <numFmt numFmtId="184" formatCode="_(* #,##0_);_(* \(#,##0\);_(@_)"/>
    <numFmt numFmtId="185" formatCode="_(* #,##0.00_);_(* \(#,##0.00\);_(@_)"/>
    <numFmt numFmtId="186" formatCode="_(* #,##0.0000_);_(* \(#,##0.0000\);_(* &quot;-&quot;??_);_(@_)"/>
  </numFmts>
  <fonts count="1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10"/>
      <name val="Arial"/>
      <family val="2"/>
    </font>
    <font>
      <sz val="8"/>
      <name val="Arial"/>
      <family val="2"/>
    </font>
    <font>
      <sz val="11"/>
      <color indexed="9"/>
      <name val="Arial"/>
      <family val="2"/>
    </font>
    <font>
      <b/>
      <sz val="11"/>
      <color indexed="12"/>
      <name val="Arial"/>
      <family val="2"/>
    </font>
    <font>
      <sz val="10"/>
      <name val="Arial"/>
      <family val="2"/>
    </font>
    <font>
      <b/>
      <sz val="11"/>
      <name val="Georgia"/>
      <family val="1"/>
    </font>
    <font>
      <sz val="11"/>
      <name val="Georgia"/>
      <family val="1"/>
    </font>
    <font>
      <b/>
      <sz val="11"/>
      <color rgb="FF3F3F3F"/>
      <name val="Calibri"/>
      <family val="2"/>
      <scheme val="minor"/>
    </font>
    <font>
      <b/>
      <sz val="18"/>
      <name val="Georgia"/>
      <family val="1"/>
    </font>
    <font>
      <sz val="10"/>
      <name val="Georgia"/>
      <family val="1"/>
    </font>
    <font>
      <sz val="12"/>
      <name val="Georgia"/>
      <family val="1"/>
    </font>
    <font>
      <b/>
      <sz val="12"/>
      <name val="Georgia"/>
      <family val="1"/>
    </font>
    <font>
      <b/>
      <sz val="12"/>
      <color rgb="FFFF0000"/>
      <name val="Georgia"/>
      <family val="1"/>
    </font>
    <font>
      <sz val="11"/>
      <color theme="0"/>
      <name val="Georgia"/>
      <family val="1"/>
    </font>
    <font>
      <sz val="10"/>
      <color theme="0"/>
      <name val="Georgia"/>
      <family val="1"/>
    </font>
    <font>
      <b/>
      <sz val="16"/>
      <name val="Georgia"/>
      <family val="1"/>
    </font>
    <font>
      <b/>
      <sz val="11"/>
      <color indexed="12"/>
      <name val="Georgia"/>
      <family val="1"/>
    </font>
    <font>
      <b/>
      <sz val="11"/>
      <color rgb="FF3F3F3F"/>
      <name val="Georgia"/>
      <family val="1"/>
    </font>
    <font>
      <b/>
      <sz val="10"/>
      <name val="Georgia"/>
      <family val="1"/>
    </font>
    <font>
      <b/>
      <sz val="11"/>
      <color indexed="9"/>
      <name val="Georgia"/>
      <family val="1"/>
    </font>
    <font>
      <sz val="11"/>
      <color rgb="FFFF0000"/>
      <name val="Georgia"/>
      <family val="1"/>
    </font>
    <font>
      <sz val="11"/>
      <color theme="1"/>
      <name val="Georgia"/>
      <family val="1"/>
    </font>
    <font>
      <sz val="10"/>
      <color theme="1"/>
      <name val="Georgia"/>
      <family val="1"/>
    </font>
    <font>
      <b/>
      <sz val="14"/>
      <color indexed="9"/>
      <name val="Georgia"/>
      <family val="1"/>
    </font>
    <font>
      <b/>
      <sz val="24"/>
      <color rgb="FF0070C0"/>
      <name val="Georgia"/>
      <family val="1"/>
    </font>
    <font>
      <b/>
      <sz val="14"/>
      <name val="Georgia"/>
      <family val="1"/>
    </font>
    <font>
      <b/>
      <sz val="12"/>
      <color indexed="9"/>
      <name val="Georgia"/>
      <family val="1"/>
    </font>
    <font>
      <b/>
      <sz val="12"/>
      <color indexed="12"/>
      <name val="Georgia"/>
      <family val="1"/>
    </font>
    <font>
      <u/>
      <sz val="12"/>
      <name val="Georgia"/>
      <family val="1"/>
    </font>
    <font>
      <sz val="12"/>
      <color indexed="12"/>
      <name val="Georgia"/>
      <family val="1"/>
    </font>
    <font>
      <b/>
      <sz val="13"/>
      <color indexed="12"/>
      <name val="Georgia"/>
      <family val="1"/>
    </font>
    <font>
      <sz val="13"/>
      <name val="Georgia"/>
      <family val="1"/>
    </font>
    <font>
      <sz val="11"/>
      <color indexed="53"/>
      <name val="Georgia"/>
      <family val="1"/>
    </font>
    <font>
      <sz val="10"/>
      <color indexed="9"/>
      <name val="Georgia"/>
      <family val="1"/>
    </font>
    <font>
      <sz val="11"/>
      <color indexed="8"/>
      <name val="Georgia"/>
      <family val="1"/>
    </font>
    <font>
      <sz val="14"/>
      <name val="Georgia"/>
      <family val="1"/>
    </font>
    <font>
      <b/>
      <sz val="14"/>
      <color indexed="12"/>
      <name val="Georgia"/>
      <family val="1"/>
    </font>
    <font>
      <u/>
      <sz val="14"/>
      <name val="Georgia"/>
      <family val="1"/>
    </font>
    <font>
      <sz val="14"/>
      <color indexed="12"/>
      <name val="Georgia"/>
      <family val="1"/>
    </font>
    <font>
      <sz val="10"/>
      <color indexed="10"/>
      <name val="Georgia"/>
      <family val="1"/>
    </font>
    <font>
      <b/>
      <sz val="20"/>
      <color theme="3" tint="0.39997558519241921"/>
      <name val="Georgia"/>
      <family val="1"/>
    </font>
    <font>
      <sz val="10"/>
      <color rgb="FFFF0000"/>
      <name val="Georgia"/>
      <family val="1"/>
    </font>
    <font>
      <sz val="12"/>
      <color indexed="8"/>
      <name val="Georgia"/>
      <family val="1"/>
    </font>
    <font>
      <b/>
      <sz val="24"/>
      <name val="Georgia"/>
      <family val="1"/>
    </font>
    <font>
      <sz val="12"/>
      <name val="Calibri"/>
      <family val="2"/>
    </font>
    <font>
      <b/>
      <sz val="20"/>
      <name val="Georgia"/>
      <family val="1"/>
    </font>
    <font>
      <sz val="24"/>
      <name val="Georgia"/>
      <family val="1"/>
    </font>
    <font>
      <b/>
      <sz val="11"/>
      <color theme="1"/>
      <name val="Georgia"/>
      <family val="1"/>
    </font>
    <font>
      <b/>
      <sz val="36"/>
      <name val="Georgia"/>
      <family val="1"/>
    </font>
    <font>
      <sz val="36"/>
      <name val="Georgia"/>
      <family val="1"/>
    </font>
    <font>
      <b/>
      <sz val="14"/>
      <color indexed="8"/>
      <name val="Georgia"/>
      <family val="1"/>
    </font>
    <font>
      <b/>
      <sz val="12"/>
      <color theme="1"/>
      <name val="Georgia"/>
      <family val="1"/>
    </font>
    <font>
      <b/>
      <sz val="14"/>
      <color theme="3" tint="0.39997558519241921"/>
      <name val="Georgia"/>
      <family val="1"/>
    </font>
    <font>
      <sz val="36"/>
      <color rgb="FFFF0000"/>
      <name val="Georgia"/>
      <family val="1"/>
    </font>
    <font>
      <b/>
      <sz val="12"/>
      <color rgb="FF3F3F3F"/>
      <name val="Georgia"/>
      <family val="1"/>
    </font>
    <font>
      <sz val="11"/>
      <color rgb="FFFF0000"/>
      <name val="Calibri"/>
      <family val="2"/>
      <scheme val="minor"/>
    </font>
    <font>
      <sz val="12"/>
      <color rgb="FF3F3F3F"/>
      <name val="Georgia"/>
      <family val="1"/>
    </font>
    <font>
      <sz val="10.199999999999999"/>
      <name val="Georgia"/>
      <family val="1"/>
    </font>
    <font>
      <b/>
      <i/>
      <sz val="12"/>
      <name val="Georgia"/>
      <family val="1"/>
    </font>
    <font>
      <i/>
      <sz val="12"/>
      <name val="Georgia"/>
      <family val="1"/>
    </font>
    <font>
      <b/>
      <sz val="20"/>
      <color rgb="FF0070C0"/>
      <name val="Georgia"/>
      <family val="1"/>
    </font>
    <font>
      <sz val="12"/>
      <color theme="1"/>
      <name val="Georgia"/>
      <family val="1"/>
    </font>
    <font>
      <sz val="11"/>
      <color theme="1"/>
      <name val="Arial"/>
      <family val="2"/>
    </font>
    <font>
      <b/>
      <sz val="22"/>
      <name val="Georgia"/>
      <family val="1"/>
    </font>
    <font>
      <sz val="12"/>
      <color theme="1"/>
      <name val="Calibri"/>
      <family val="2"/>
      <scheme val="minor"/>
    </font>
    <font>
      <sz val="18"/>
      <color theme="1"/>
      <name val="Georgia"/>
      <family val="1"/>
    </font>
    <font>
      <sz val="12"/>
      <color theme="0"/>
      <name val="Georgia"/>
      <family val="1"/>
    </font>
    <font>
      <sz val="24"/>
      <color theme="1"/>
      <name val="Georgia"/>
      <family val="1"/>
    </font>
    <font>
      <sz val="24"/>
      <color theme="0"/>
      <name val="Georgia"/>
      <family val="1"/>
    </font>
    <font>
      <b/>
      <sz val="14"/>
      <color theme="0"/>
      <name val="Georgia"/>
      <family val="1"/>
    </font>
    <font>
      <sz val="10"/>
      <color theme="0"/>
      <name val="Arial"/>
      <family val="2"/>
    </font>
    <font>
      <b/>
      <sz val="11"/>
      <color theme="0"/>
      <name val="Helvetica"/>
    </font>
    <font>
      <b/>
      <sz val="10"/>
      <name val="Arial"/>
      <family val="2"/>
    </font>
    <font>
      <sz val="12"/>
      <color rgb="FFFF0000"/>
      <name val="Georgia"/>
      <family val="1"/>
    </font>
    <font>
      <sz val="7"/>
      <color theme="0"/>
      <name val="Arial"/>
      <family val="2"/>
    </font>
    <font>
      <sz val="14"/>
      <color theme="1"/>
      <name val="Georgia"/>
      <family val="1"/>
    </font>
    <font>
      <b/>
      <sz val="11"/>
      <color theme="1"/>
      <name val="Arial"/>
      <family val="2"/>
    </font>
    <font>
      <sz val="11"/>
      <color theme="0" tint="-0.34998626667073579"/>
      <name val="Georgia"/>
      <family val="1"/>
    </font>
    <font>
      <sz val="11"/>
      <color rgb="FFFFFFFF"/>
      <name val="Georgia"/>
      <family val="1"/>
    </font>
    <font>
      <b/>
      <sz val="12"/>
      <color theme="0" tint="-0.34998626667073579"/>
      <name val="Georgia"/>
      <family val="1"/>
    </font>
    <font>
      <sz val="10"/>
      <color theme="0" tint="-0.34998626667073579"/>
      <name val="Georgia"/>
      <family val="1"/>
    </font>
    <font>
      <b/>
      <u/>
      <sz val="14"/>
      <color theme="0" tint="-0.34998626667073579"/>
      <name val="Georgia"/>
      <family val="1"/>
    </font>
    <font>
      <b/>
      <i/>
      <sz val="14"/>
      <color theme="0" tint="-0.34998626667073579"/>
      <name val="Georgia"/>
      <family val="1"/>
    </font>
    <font>
      <sz val="12"/>
      <color theme="0" tint="-0.34998626667073579"/>
      <name val="Georgia"/>
      <family val="1"/>
    </font>
    <font>
      <sz val="11"/>
      <color rgb="FFBCBCBC"/>
      <name val="Georgia"/>
      <family val="1"/>
    </font>
    <font>
      <sz val="11"/>
      <color rgb="FFB0B0B0"/>
      <name val="Georgia"/>
      <family val="1"/>
    </font>
    <font>
      <u/>
      <sz val="10"/>
      <name val="Arial"/>
      <family val="2"/>
    </font>
    <font>
      <b/>
      <strike/>
      <sz val="11"/>
      <name val="Georgia"/>
      <family val="1"/>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8"/>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CFFCC"/>
        <bgColor indexed="64"/>
      </patternFill>
    </fill>
    <fill>
      <patternFill patternType="solid">
        <fgColor rgb="FFC1F4BA"/>
        <bgColor indexed="64"/>
      </patternFill>
    </fill>
    <fill>
      <patternFill patternType="solid">
        <fgColor rgb="FFFFFF99"/>
        <bgColor indexed="64"/>
      </patternFill>
    </fill>
    <fill>
      <patternFill patternType="solid">
        <fgColor theme="1" tint="4.9989318521683403E-2"/>
        <bgColor indexed="64"/>
      </patternFill>
    </fill>
    <fill>
      <patternFill patternType="solid">
        <fgColor rgb="FFF2F2F2"/>
      </patternFill>
    </fill>
    <fill>
      <patternFill patternType="solid">
        <fgColor theme="4"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0" tint="-0.499984740745262"/>
        <bgColor indexed="64"/>
      </patternFill>
    </fill>
    <fill>
      <patternFill patternType="mediumGray">
        <bgColor theme="0"/>
      </patternFill>
    </fill>
    <fill>
      <patternFill patternType="lightGray">
        <bgColor theme="0"/>
      </patternFill>
    </fill>
    <fill>
      <patternFill patternType="solid">
        <fgColor rgb="FFC0C0C0"/>
        <bgColor indexed="64"/>
      </patternFill>
    </fill>
    <fill>
      <patternFill patternType="solid">
        <fgColor rgb="FFDCE6F1"/>
        <bgColor indexed="64"/>
      </patternFill>
    </fill>
    <fill>
      <patternFill patternType="solid">
        <fgColor rgb="FFF2F2F2"/>
        <bgColor indexed="64"/>
      </patternFill>
    </fill>
    <fill>
      <patternFill patternType="solid">
        <fgColor rgb="FFFDE9D9"/>
        <bgColor indexed="64"/>
      </patternFill>
    </fill>
    <fill>
      <patternFill patternType="solid">
        <fgColor rgb="FFB0B0B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thin">
        <color indexed="64"/>
      </right>
      <top/>
      <bottom/>
      <diagonal/>
    </border>
    <border>
      <left/>
      <right/>
      <top/>
      <bottom style="medium">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9"/>
      </top>
      <bottom/>
      <diagonal/>
    </border>
    <border>
      <left style="thin">
        <color indexed="9"/>
      </left>
      <right style="thin">
        <color indexed="9"/>
      </right>
      <top style="medium">
        <color indexed="64"/>
      </top>
      <bottom/>
      <diagonal/>
    </border>
    <border>
      <left/>
      <right/>
      <top style="thin">
        <color indexed="9"/>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9"/>
      </left>
      <right/>
      <top style="thin">
        <color indexed="9"/>
      </top>
      <bottom/>
      <diagonal/>
    </border>
    <border>
      <left/>
      <right style="thin">
        <color indexed="9"/>
      </right>
      <top style="thin">
        <color indexed="9"/>
      </top>
      <bottom style="thin">
        <color indexed="9"/>
      </bottom>
      <diagonal/>
    </border>
    <border>
      <left/>
      <right/>
      <top style="medium">
        <color indexed="64"/>
      </top>
      <bottom/>
      <diagonal/>
    </border>
    <border>
      <left/>
      <right/>
      <top/>
      <bottom style="thin">
        <color indexed="9"/>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9"/>
      </left>
      <right/>
      <top/>
      <bottom/>
      <diagonal/>
    </border>
    <border>
      <left style="medium">
        <color indexed="64"/>
      </left>
      <right/>
      <top style="thin">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bottom/>
      <diagonal/>
    </border>
    <border>
      <left style="thin">
        <color indexed="9"/>
      </left>
      <right style="thin">
        <color indexed="9"/>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medium">
        <color indexed="64"/>
      </right>
      <top style="dotted">
        <color indexed="64"/>
      </top>
      <bottom/>
      <diagonal/>
    </border>
    <border>
      <left style="medium">
        <color indexed="64"/>
      </left>
      <right style="thick">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9"/>
      </right>
      <top style="medium">
        <color indexed="64"/>
      </top>
      <bottom/>
      <diagonal/>
    </border>
    <border>
      <left style="thin">
        <color indexed="9"/>
      </left>
      <right style="medium">
        <color indexed="64"/>
      </right>
      <top style="medium">
        <color indexed="64"/>
      </top>
      <bottom/>
      <diagonal/>
    </border>
    <border>
      <left style="thin">
        <color indexed="9"/>
      </left>
      <right/>
      <top/>
      <bottom style="medium">
        <color indexed="64"/>
      </bottom>
      <diagonal/>
    </border>
    <border>
      <left/>
      <right style="thin">
        <color indexed="9"/>
      </right>
      <top style="thin">
        <color indexed="9"/>
      </top>
      <bottom style="thin">
        <color indexed="64"/>
      </bottom>
      <diagonal/>
    </border>
    <border>
      <left style="medium">
        <color indexed="64"/>
      </left>
      <right style="thin">
        <color indexed="64"/>
      </right>
      <top style="thin">
        <color indexed="64"/>
      </top>
      <bottom/>
      <diagonal/>
    </border>
    <border>
      <left style="hair">
        <color rgb="FF33CCCC"/>
      </left>
      <right style="hair">
        <color rgb="FF33CCCC"/>
      </right>
      <top style="hair">
        <color rgb="FF33CCCC"/>
      </top>
      <bottom style="hair">
        <color rgb="FF33CCCC"/>
      </bottom>
      <diagonal/>
    </border>
    <border>
      <left style="hair">
        <color rgb="FF33CCCC"/>
      </left>
      <right style="hair">
        <color rgb="FF33CCCC"/>
      </right>
      <top/>
      <bottom style="hair">
        <color rgb="FF33CCCC"/>
      </bottom>
      <diagonal/>
    </border>
    <border>
      <left style="medium">
        <color indexed="64"/>
      </left>
      <right style="hair">
        <color rgb="FF33CCCC"/>
      </right>
      <top/>
      <bottom style="hair">
        <color rgb="FF33CCCC"/>
      </bottom>
      <diagonal/>
    </border>
    <border>
      <left style="medium">
        <color indexed="64"/>
      </left>
      <right style="hair">
        <color rgb="FF33CCCC"/>
      </right>
      <top style="hair">
        <color rgb="FF33CCCC"/>
      </top>
      <bottom style="hair">
        <color rgb="FF33CCCC"/>
      </bottom>
      <diagonal/>
    </border>
    <border>
      <left style="medium">
        <color indexed="64"/>
      </left>
      <right style="hair">
        <color rgb="FF33CCCC"/>
      </right>
      <top style="medium">
        <color indexed="64"/>
      </top>
      <bottom style="medium">
        <color indexed="64"/>
      </bottom>
      <diagonal/>
    </border>
    <border>
      <left style="hair">
        <color rgb="FF33CCCC"/>
      </left>
      <right style="hair">
        <color rgb="FF33CCCC"/>
      </right>
      <top style="medium">
        <color indexed="64"/>
      </top>
      <bottom style="medium">
        <color indexed="64"/>
      </bottom>
      <diagonal/>
    </border>
    <border>
      <left style="hair">
        <color rgb="FF33CCCC"/>
      </left>
      <right style="medium">
        <color indexed="64"/>
      </right>
      <top style="medium">
        <color indexed="64"/>
      </top>
      <bottom style="medium">
        <color indexed="64"/>
      </bottom>
      <diagonal/>
    </border>
    <border>
      <left/>
      <right style="hair">
        <color rgb="FF33CCCC"/>
      </right>
      <top style="hair">
        <color rgb="FF33CCCC"/>
      </top>
      <bottom style="medium">
        <color indexed="64"/>
      </bottom>
      <diagonal/>
    </border>
    <border>
      <left style="hair">
        <color rgb="FF33CCCC"/>
      </left>
      <right style="hair">
        <color rgb="FF33CCCC"/>
      </right>
      <top style="medium">
        <color indexed="64"/>
      </top>
      <bottom/>
      <diagonal/>
    </border>
    <border>
      <left style="medium">
        <color indexed="64"/>
      </left>
      <right style="hair">
        <color rgb="FF33CCCC"/>
      </right>
      <top style="medium">
        <color indexed="64"/>
      </top>
      <bottom/>
      <diagonal/>
    </border>
    <border>
      <left/>
      <right style="hair">
        <color rgb="FF33CCCC"/>
      </right>
      <top style="hair">
        <color rgb="FF33CCCC"/>
      </top>
      <bottom style="hair">
        <color rgb="FF33CCCC"/>
      </bottom>
      <diagonal/>
    </border>
    <border>
      <left style="hair">
        <color rgb="FF33CCCC"/>
      </left>
      <right/>
      <top style="medium">
        <color indexed="64"/>
      </top>
      <bottom style="hair">
        <color rgb="FF33CCCC"/>
      </bottom>
      <diagonal/>
    </border>
    <border>
      <left/>
      <right/>
      <top style="medium">
        <color indexed="64"/>
      </top>
      <bottom style="hair">
        <color rgb="FF33CCCC"/>
      </bottom>
      <diagonal/>
    </border>
    <border>
      <left/>
      <right style="hair">
        <color rgb="FF33CCCC"/>
      </right>
      <top style="medium">
        <color indexed="64"/>
      </top>
      <bottom style="hair">
        <color rgb="FF33CCCC"/>
      </bottom>
      <diagonal/>
    </border>
    <border>
      <left style="hair">
        <color rgb="FF33CCCC"/>
      </left>
      <right/>
      <top style="hair">
        <color rgb="FF33CCCC"/>
      </top>
      <bottom style="hair">
        <color rgb="FF33CCCC"/>
      </bottom>
      <diagonal/>
    </border>
    <border>
      <left style="hair">
        <color theme="8"/>
      </left>
      <right style="hair">
        <color theme="8"/>
      </right>
      <top style="hair">
        <color theme="8"/>
      </top>
      <bottom style="hair">
        <color theme="8"/>
      </bottom>
      <diagonal/>
    </border>
    <border>
      <left style="hair">
        <color theme="8"/>
      </left>
      <right style="hair">
        <color theme="8"/>
      </right>
      <top/>
      <bottom style="hair">
        <color theme="8"/>
      </bottom>
      <diagonal/>
    </border>
    <border>
      <left style="hair">
        <color rgb="FF33CCCC"/>
      </left>
      <right/>
      <top/>
      <bottom style="hair">
        <color rgb="FF33CCCC"/>
      </bottom>
      <diagonal/>
    </border>
    <border>
      <left/>
      <right/>
      <top style="medium">
        <color auto="1"/>
      </top>
      <bottom style="hair">
        <color theme="8"/>
      </bottom>
      <diagonal/>
    </border>
    <border>
      <left/>
      <right/>
      <top style="hair">
        <color theme="8"/>
      </top>
      <bottom style="medium">
        <color theme="1"/>
      </bottom>
      <diagonal/>
    </border>
    <border>
      <left style="hair">
        <color theme="8"/>
      </left>
      <right/>
      <top style="hair">
        <color theme="8"/>
      </top>
      <bottom style="hair">
        <color theme="8"/>
      </bottom>
      <diagonal/>
    </border>
    <border>
      <left style="medium">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hair">
        <color rgb="FF00B0F0"/>
      </left>
      <right style="hair">
        <color rgb="FF00B0F0"/>
      </right>
      <top style="hair">
        <color rgb="FF00B0F0"/>
      </top>
      <bottom style="hair">
        <color rgb="FF00B0F0"/>
      </bottom>
      <diagonal/>
    </border>
    <border>
      <left style="hair">
        <color rgb="FF00B0F0"/>
      </left>
      <right/>
      <top style="hair">
        <color rgb="FF00B0F0"/>
      </top>
      <bottom style="hair">
        <color rgb="FF00B0F0"/>
      </bottom>
      <diagonal/>
    </border>
    <border>
      <left/>
      <right style="hair">
        <color rgb="FF00B0F0"/>
      </right>
      <top style="hair">
        <color rgb="FF00B0F0"/>
      </top>
      <bottom style="hair">
        <color rgb="FF00B0F0"/>
      </bottom>
      <diagonal/>
    </border>
    <border>
      <left style="hair">
        <color rgb="FF00B0F0"/>
      </left>
      <right style="hair">
        <color rgb="FF00B0F0"/>
      </right>
      <top style="hair">
        <color rgb="FF00B0F0"/>
      </top>
      <bottom style="medium">
        <color indexed="64"/>
      </bottom>
      <diagonal/>
    </border>
    <border>
      <left style="medium">
        <color auto="1"/>
      </left>
      <right style="hair">
        <color rgb="FF00B0F0"/>
      </right>
      <top style="hair">
        <color rgb="FF00B0F0"/>
      </top>
      <bottom style="hair">
        <color rgb="FF00B0F0"/>
      </bottom>
      <diagonal/>
    </border>
    <border>
      <left style="medium">
        <color theme="1"/>
      </left>
      <right style="medium">
        <color theme="1"/>
      </right>
      <top style="medium">
        <color theme="1"/>
      </top>
      <bottom style="medium">
        <color theme="1"/>
      </bottom>
      <diagonal/>
    </border>
    <border>
      <left/>
      <right style="thin">
        <color indexed="64"/>
      </right>
      <top style="medium">
        <color indexed="64"/>
      </top>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top style="dotted">
        <color indexed="64"/>
      </top>
      <bottom/>
      <diagonal/>
    </border>
    <border>
      <left style="medium">
        <color indexed="64"/>
      </left>
      <right style="thin">
        <color indexed="64"/>
      </right>
      <top style="thin">
        <color indexed="64"/>
      </top>
      <bottom style="dotted">
        <color indexed="64"/>
      </bottom>
      <diagonal/>
    </border>
    <border>
      <left style="medium">
        <color indexed="64"/>
      </left>
      <right/>
      <top style="hair">
        <color rgb="FF33CCCC"/>
      </top>
      <bottom style="medium">
        <color indexed="64"/>
      </bottom>
      <diagonal/>
    </border>
    <border>
      <left style="hair">
        <color rgb="FF33CCCC"/>
      </left>
      <right style="hair">
        <color rgb="FF33CCCC"/>
      </right>
      <top style="hair">
        <color rgb="FF33CCCC"/>
      </top>
      <bottom style="medium">
        <color indexed="64"/>
      </bottom>
      <diagonal/>
    </border>
    <border>
      <left style="medium">
        <color indexed="64"/>
      </left>
      <right style="hair">
        <color rgb="FF33CCCC"/>
      </right>
      <top/>
      <bottom style="medium">
        <color indexed="64"/>
      </bottom>
      <diagonal/>
    </border>
    <border>
      <left/>
      <right/>
      <top style="hair">
        <color theme="8"/>
      </top>
      <bottom/>
      <diagonal/>
    </border>
    <border>
      <left style="hair">
        <color rgb="FF33CCCC"/>
      </left>
      <right style="hair">
        <color rgb="FF33CCCC"/>
      </right>
      <top/>
      <bottom style="medium">
        <color indexed="64"/>
      </bottom>
      <diagonal/>
    </border>
    <border>
      <left style="hair">
        <color theme="8"/>
      </left>
      <right style="hair">
        <color theme="8"/>
      </right>
      <top/>
      <bottom style="medium">
        <color indexed="64"/>
      </bottom>
      <diagonal/>
    </border>
    <border>
      <left/>
      <right style="hair">
        <color theme="8"/>
      </right>
      <top style="hair">
        <color theme="8"/>
      </top>
      <bottom style="hair">
        <color theme="8"/>
      </bottom>
      <diagonal/>
    </border>
    <border>
      <left/>
      <right style="hair">
        <color theme="8"/>
      </right>
      <top/>
      <bottom style="hair">
        <color theme="8"/>
      </bottom>
      <diagonal/>
    </border>
    <border>
      <left/>
      <right/>
      <top style="hair">
        <color rgb="FF33CCCC"/>
      </top>
      <bottom/>
      <diagonal/>
    </border>
    <border>
      <left style="medium">
        <color indexed="64"/>
      </left>
      <right style="hair">
        <color rgb="FF33CCCC"/>
      </right>
      <top style="hair">
        <color rgb="FF33CCCC"/>
      </top>
      <bottom style="medium">
        <color indexed="64"/>
      </bottom>
      <diagonal/>
    </border>
    <border>
      <left style="hair">
        <color auto="1"/>
      </left>
      <right style="hair">
        <color indexed="64"/>
      </right>
      <top style="hair">
        <color auto="1"/>
      </top>
      <bottom style="hair">
        <color indexed="64"/>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style="thin">
        <color auto="1"/>
      </top>
      <bottom style="thin">
        <color auto="1"/>
      </bottom>
      <diagonal/>
    </border>
    <border>
      <left style="medium">
        <color auto="1"/>
      </left>
      <right style="medium">
        <color auto="1"/>
      </right>
      <top style="thin">
        <color auto="1"/>
      </top>
      <bottom/>
      <diagonal/>
    </border>
  </borders>
  <cellStyleXfs count="107">
    <xf numFmtId="0" fontId="0" fillId="0" borderId="0"/>
    <xf numFmtId="168" fontId="15" fillId="0" borderId="0" applyFont="0" applyFill="0" applyBorder="0" applyAlignment="0" applyProtection="0"/>
    <xf numFmtId="168" fontId="15" fillId="0" borderId="0" applyFont="0" applyFill="0" applyBorder="0" applyAlignment="0" applyProtection="0"/>
    <xf numFmtId="168" fontId="21"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9" fontId="17" fillId="0" borderId="0" applyFont="0" applyFill="0" applyBorder="0" applyAlignment="0" applyProtection="0"/>
    <xf numFmtId="0" fontId="24" fillId="15" borderId="85" applyNumberFormat="0" applyAlignment="0" applyProtection="0"/>
    <xf numFmtId="0" fontId="14" fillId="0" borderId="0"/>
    <xf numFmtId="9" fontId="15" fillId="0" borderId="0" applyFont="0" applyFill="0" applyBorder="0" applyAlignment="0" applyProtection="0"/>
    <xf numFmtId="0" fontId="13" fillId="0" borderId="0"/>
    <xf numFmtId="0" fontId="79" fillId="0" borderId="0"/>
    <xf numFmtId="0" fontId="13" fillId="0" borderId="0"/>
    <xf numFmtId="0" fontId="12" fillId="0" borderId="0"/>
    <xf numFmtId="0" fontId="12" fillId="0" borderId="0"/>
    <xf numFmtId="0" fontId="12" fillId="0" borderId="0"/>
    <xf numFmtId="167" fontId="79" fillId="0" borderId="0" applyFont="0" applyFill="0" applyBorder="0" applyAlignment="0" applyProtection="0"/>
    <xf numFmtId="0" fontId="11" fillId="0" borderId="0"/>
    <xf numFmtId="0" fontId="10" fillId="0" borderId="0"/>
    <xf numFmtId="168" fontId="15" fillId="0" borderId="0" applyFont="0" applyFill="0" applyBorder="0" applyAlignment="0" applyProtection="0"/>
    <xf numFmtId="166"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5"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15" fillId="0" borderId="0" applyFont="0" applyFill="0" applyBorder="0" applyAlignment="0" applyProtection="0"/>
    <xf numFmtId="0" fontId="2" fillId="0" borderId="0"/>
  </cellStyleXfs>
  <cellXfs count="1779">
    <xf numFmtId="0" fontId="0" fillId="0" borderId="0" xfId="0"/>
    <xf numFmtId="0" fontId="0" fillId="0" borderId="0" xfId="0" applyProtection="1"/>
    <xf numFmtId="0" fontId="26" fillId="2" borderId="0" xfId="0" applyFont="1" applyFill="1" applyProtection="1"/>
    <xf numFmtId="0" fontId="26" fillId="6" borderId="0" xfId="0" applyFont="1" applyFill="1" applyBorder="1" applyProtection="1"/>
    <xf numFmtId="0" fontId="29" fillId="2" borderId="0" xfId="0" applyFont="1" applyFill="1" applyAlignment="1" applyProtection="1">
      <alignment wrapText="1"/>
    </xf>
    <xf numFmtId="0" fontId="29" fillId="2" borderId="0" xfId="0" quotePrefix="1" applyNumberFormat="1" applyFont="1" applyFill="1" applyAlignment="1" applyProtection="1">
      <alignment wrapText="1"/>
    </xf>
    <xf numFmtId="0" fontId="29" fillId="2" borderId="0" xfId="0" applyFont="1" applyFill="1" applyAlignment="1" applyProtection="1">
      <alignment vertical="top" wrapText="1"/>
    </xf>
    <xf numFmtId="0" fontId="26" fillId="0" borderId="0" xfId="0" applyFont="1" applyAlignment="1" applyProtection="1">
      <alignment vertical="center"/>
    </xf>
    <xf numFmtId="0" fontId="26" fillId="2" borderId="0" xfId="0" applyFont="1" applyFill="1" applyAlignment="1" applyProtection="1">
      <alignment vertical="center"/>
    </xf>
    <xf numFmtId="0" fontId="26" fillId="0" borderId="0" xfId="0" applyFont="1"/>
    <xf numFmtId="0" fontId="23" fillId="0" borderId="0" xfId="0" applyFont="1" applyAlignment="1" applyProtection="1">
      <alignment vertical="center"/>
    </xf>
    <xf numFmtId="0" fontId="28" fillId="0" borderId="0" xfId="0" applyFont="1" applyBorder="1" applyAlignment="1" applyProtection="1"/>
    <xf numFmtId="0" fontId="32" fillId="8" borderId="17" xfId="0" applyFont="1" applyFill="1" applyBorder="1" applyAlignment="1" applyProtection="1">
      <alignment vertical="center"/>
    </xf>
    <xf numFmtId="0" fontId="26" fillId="0" borderId="0" xfId="0" applyFont="1" applyFill="1" applyBorder="1" applyAlignment="1" applyProtection="1">
      <alignment horizontal="center" vertical="center" wrapText="1"/>
    </xf>
    <xf numFmtId="0" fontId="26" fillId="2" borderId="0" xfId="0" applyFont="1" applyFill="1" applyBorder="1" applyAlignment="1" applyProtection="1">
      <alignment vertical="center"/>
    </xf>
    <xf numFmtId="0" fontId="23" fillId="2" borderId="0" xfId="0" applyFont="1" applyFill="1" applyAlignment="1" applyProtection="1">
      <alignment vertical="center"/>
    </xf>
    <xf numFmtId="0" fontId="33" fillId="0" borderId="0" xfId="0" applyFont="1" applyFill="1" applyBorder="1" applyAlignment="1" applyProtection="1">
      <alignment horizontal="left" vertical="center"/>
    </xf>
    <xf numFmtId="0" fontId="23" fillId="0" borderId="0" xfId="0" applyFont="1" applyFill="1" applyBorder="1" applyAlignment="1" applyProtection="1">
      <alignment horizontal="left" vertical="center"/>
    </xf>
    <xf numFmtId="0" fontId="37" fillId="0" borderId="0" xfId="0" applyFont="1" applyFill="1" applyBorder="1" applyAlignment="1" applyProtection="1">
      <alignment horizontal="left" vertical="center"/>
    </xf>
    <xf numFmtId="0" fontId="26" fillId="0" borderId="0" xfId="0" applyFont="1" applyProtection="1"/>
    <xf numFmtId="0" fontId="26" fillId="2" borderId="0" xfId="0" applyFont="1" applyFill="1" applyBorder="1" applyProtection="1"/>
    <xf numFmtId="0" fontId="23" fillId="2" borderId="0" xfId="0" applyFont="1" applyFill="1" applyBorder="1" applyAlignment="1" applyProtection="1">
      <alignment vertical="center"/>
    </xf>
    <xf numFmtId="0" fontId="27" fillId="2" borderId="0" xfId="0" applyFont="1" applyFill="1" applyBorder="1" applyProtection="1"/>
    <xf numFmtId="169" fontId="27" fillId="2" borderId="0" xfId="1" applyNumberFormat="1" applyFont="1" applyFill="1" applyBorder="1" applyProtection="1"/>
    <xf numFmtId="0" fontId="32" fillId="6" borderId="0" xfId="0" applyFont="1" applyFill="1" applyBorder="1" applyAlignment="1" applyProtection="1">
      <alignment horizontal="left" vertical="center"/>
    </xf>
    <xf numFmtId="0" fontId="27" fillId="2" borderId="10" xfId="0" applyFont="1" applyFill="1" applyBorder="1" applyProtection="1"/>
    <xf numFmtId="0" fontId="40" fillId="2" borderId="0" xfId="0" applyFont="1" applyFill="1" applyBorder="1" applyAlignment="1" applyProtection="1">
      <alignment horizontal="left"/>
    </xf>
    <xf numFmtId="0" fontId="26" fillId="0" borderId="0" xfId="0" applyFont="1" applyFill="1" applyProtection="1"/>
    <xf numFmtId="0" fontId="22" fillId="0" borderId="30" xfId="0" applyFont="1" applyFill="1" applyBorder="1" applyAlignment="1" applyProtection="1">
      <alignment horizontal="left" vertical="center" wrapText="1"/>
    </xf>
    <xf numFmtId="0" fontId="22" fillId="0" borderId="30" xfId="0" applyFont="1" applyFill="1" applyBorder="1" applyAlignment="1" applyProtection="1">
      <alignment horizontal="center" vertical="center"/>
    </xf>
    <xf numFmtId="0" fontId="26" fillId="0" borderId="0" xfId="0" applyFont="1" applyAlignment="1" applyProtection="1"/>
    <xf numFmtId="0" fontId="26" fillId="2" borderId="0" xfId="0" applyFont="1" applyFill="1" applyAlignment="1" applyProtection="1"/>
    <xf numFmtId="169" fontId="26" fillId="2" borderId="0" xfId="1" applyNumberFormat="1" applyFont="1" applyFill="1" applyBorder="1" applyProtection="1"/>
    <xf numFmtId="169" fontId="23" fillId="2" borderId="0" xfId="1" applyNumberFormat="1" applyFont="1" applyFill="1" applyBorder="1" applyProtection="1"/>
    <xf numFmtId="0" fontId="23" fillId="2" borderId="0" xfId="0" applyFont="1" applyFill="1" applyBorder="1" applyProtection="1"/>
    <xf numFmtId="0" fontId="23" fillId="2" borderId="0" xfId="0" applyFont="1" applyFill="1" applyProtection="1"/>
    <xf numFmtId="170" fontId="23" fillId="6" borderId="0" xfId="0" applyNumberFormat="1" applyFont="1" applyFill="1" applyBorder="1" applyAlignment="1" applyProtection="1">
      <alignment horizontal="right" vertical="center"/>
    </xf>
    <xf numFmtId="170" fontId="22" fillId="6" borderId="0" xfId="0" applyNumberFormat="1" applyFont="1" applyFill="1" applyBorder="1" applyAlignment="1" applyProtection="1">
      <alignment horizontal="right" vertical="center"/>
    </xf>
    <xf numFmtId="0" fontId="23" fillId="6" borderId="0" xfId="0" applyFont="1" applyFill="1" applyBorder="1" applyAlignment="1" applyProtection="1">
      <alignment horizontal="left" vertical="center"/>
    </xf>
    <xf numFmtId="0" fontId="26" fillId="6" borderId="0" xfId="0" applyFont="1" applyFill="1" applyBorder="1" applyAlignment="1" applyProtection="1">
      <alignment horizontal="right" vertical="center"/>
    </xf>
    <xf numFmtId="0" fontId="26" fillId="0" borderId="30" xfId="0" applyFont="1" applyFill="1" applyBorder="1" applyAlignment="1" applyProtection="1">
      <alignment vertical="center" wrapText="1"/>
    </xf>
    <xf numFmtId="0" fontId="26" fillId="0" borderId="30" xfId="0" applyFont="1" applyFill="1" applyBorder="1" applyAlignment="1" applyProtection="1">
      <alignment vertical="center"/>
    </xf>
    <xf numFmtId="169" fontId="23" fillId="0" borderId="30" xfId="1" applyNumberFormat="1" applyFont="1" applyFill="1" applyBorder="1" applyAlignment="1" applyProtection="1">
      <alignment vertical="center"/>
    </xf>
    <xf numFmtId="0" fontId="23" fillId="0" borderId="30" xfId="0" applyFont="1" applyFill="1" applyBorder="1" applyAlignment="1" applyProtection="1">
      <alignment vertical="center"/>
    </xf>
    <xf numFmtId="169" fontId="23" fillId="6" borderId="0" xfId="1" applyNumberFormat="1" applyFont="1" applyFill="1" applyBorder="1" applyProtection="1"/>
    <xf numFmtId="0" fontId="41" fillId="2" borderId="0" xfId="0" applyFont="1" applyFill="1" applyBorder="1" applyProtection="1"/>
    <xf numFmtId="0" fontId="26" fillId="0" borderId="0" xfId="0" applyFont="1" applyBorder="1" applyProtection="1"/>
    <xf numFmtId="0" fontId="25" fillId="0" borderId="0"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23" fillId="0" borderId="0" xfId="0"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0" fontId="23" fillId="0" borderId="0" xfId="0" applyFont="1" applyFill="1" applyBorder="1" applyAlignment="1" applyProtection="1">
      <alignment horizontal="left" vertical="center" wrapText="1" indent="1"/>
    </xf>
    <xf numFmtId="0" fontId="26" fillId="0" borderId="0" xfId="0" applyFont="1" applyFill="1" applyBorder="1" applyAlignment="1" applyProtection="1">
      <alignment horizontal="left" vertical="center" wrapText="1" indent="1"/>
    </xf>
    <xf numFmtId="0" fontId="26" fillId="2" borderId="0" xfId="0" applyFont="1" applyFill="1" applyAlignment="1" applyProtection="1">
      <alignment horizontal="center"/>
    </xf>
    <xf numFmtId="0" fontId="32" fillId="0" borderId="0" xfId="0" applyFont="1" applyFill="1" applyBorder="1" applyAlignment="1" applyProtection="1">
      <alignment horizontal="left"/>
    </xf>
    <xf numFmtId="0" fontId="23" fillId="2" borderId="0" xfId="0" applyFont="1" applyFill="1" applyBorder="1" applyAlignment="1" applyProtection="1">
      <alignment horizontal="left" vertical="center" wrapText="1" indent="1"/>
    </xf>
    <xf numFmtId="0" fontId="32" fillId="0" borderId="30" xfId="0" applyFont="1" applyFill="1" applyBorder="1" applyAlignment="1" applyProtection="1">
      <alignment horizontal="left"/>
    </xf>
    <xf numFmtId="0" fontId="32" fillId="0" borderId="23" xfId="0" applyFont="1" applyFill="1" applyBorder="1" applyAlignment="1" applyProtection="1">
      <alignment horizontal="left"/>
    </xf>
    <xf numFmtId="0" fontId="32" fillId="0" borderId="31" xfId="0" applyFont="1" applyFill="1" applyBorder="1" applyAlignment="1" applyProtection="1">
      <alignment horizontal="left"/>
    </xf>
    <xf numFmtId="0" fontId="36" fillId="6" borderId="0" xfId="0" applyFont="1" applyFill="1" applyBorder="1" applyAlignment="1" applyProtection="1">
      <alignment horizontal="left"/>
    </xf>
    <xf numFmtId="0" fontId="50" fillId="6" borderId="0" xfId="0" applyFont="1" applyFill="1" applyBorder="1" applyAlignment="1" applyProtection="1">
      <alignment horizontal="left"/>
    </xf>
    <xf numFmtId="0" fontId="23" fillId="6" borderId="0" xfId="0" applyFont="1" applyFill="1" applyBorder="1" applyAlignment="1" applyProtection="1">
      <alignment horizontal="left"/>
    </xf>
    <xf numFmtId="0" fontId="51" fillId="2" borderId="1" xfId="0" applyFont="1" applyFill="1" applyBorder="1" applyAlignment="1" applyProtection="1">
      <alignment horizontal="center" wrapText="1"/>
      <protection locked="0"/>
    </xf>
    <xf numFmtId="0" fontId="26" fillId="6" borderId="0" xfId="0" applyFont="1" applyFill="1" applyBorder="1" applyAlignment="1" applyProtection="1">
      <alignment horizontal="left"/>
    </xf>
    <xf numFmtId="0" fontId="26" fillId="6" borderId="0" xfId="0" applyFont="1" applyFill="1" applyBorder="1" applyAlignment="1" applyProtection="1">
      <alignment horizontal="left" wrapText="1"/>
    </xf>
    <xf numFmtId="0" fontId="26" fillId="0" borderId="0" xfId="0" applyFont="1" applyBorder="1" applyAlignment="1" applyProtection="1"/>
    <xf numFmtId="0" fontId="23" fillId="2" borderId="30" xfId="0" applyFont="1" applyFill="1" applyBorder="1" applyAlignment="1" applyProtection="1">
      <alignment horizontal="left" vertical="center" wrapText="1" indent="1"/>
    </xf>
    <xf numFmtId="0" fontId="23" fillId="2" borderId="56" xfId="0" applyFont="1" applyFill="1" applyBorder="1" applyAlignment="1" applyProtection="1">
      <alignment horizontal="left" vertical="center" wrapText="1" indent="1"/>
    </xf>
    <xf numFmtId="0" fontId="26" fillId="2" borderId="30" xfId="0" applyFont="1" applyFill="1" applyBorder="1" applyProtection="1"/>
    <xf numFmtId="0" fontId="26" fillId="2" borderId="56" xfId="0" applyFont="1" applyFill="1" applyBorder="1" applyProtection="1"/>
    <xf numFmtId="0" fontId="52" fillId="2" borderId="0" xfId="0" applyFont="1" applyFill="1" applyProtection="1"/>
    <xf numFmtId="0" fontId="26" fillId="2" borderId="0" xfId="0" applyFont="1" applyFill="1" applyBorder="1" applyAlignment="1" applyProtection="1"/>
    <xf numFmtId="0" fontId="27" fillId="2" borderId="24" xfId="0" applyFont="1" applyFill="1" applyBorder="1" applyProtection="1"/>
    <xf numFmtId="0" fontId="27" fillId="2" borderId="23" xfId="0" applyFont="1" applyFill="1" applyBorder="1" applyProtection="1"/>
    <xf numFmtId="0" fontId="26" fillId="2" borderId="23" xfId="0" applyFont="1" applyFill="1" applyBorder="1" applyProtection="1"/>
    <xf numFmtId="0" fontId="26" fillId="2" borderId="31" xfId="0" applyFont="1" applyFill="1" applyBorder="1" applyAlignment="1" applyProtection="1">
      <alignment horizontal="center"/>
    </xf>
    <xf numFmtId="0" fontId="32" fillId="8" borderId="24" xfId="0" applyFont="1" applyFill="1" applyBorder="1" applyAlignment="1" applyProtection="1">
      <alignment vertical="center"/>
    </xf>
    <xf numFmtId="0" fontId="27" fillId="8" borderId="22" xfId="0" applyFont="1" applyFill="1" applyBorder="1" applyProtection="1"/>
    <xf numFmtId="169" fontId="27" fillId="8" borderId="0" xfId="1" applyNumberFormat="1" applyFont="1" applyFill="1" applyBorder="1" applyProtection="1"/>
    <xf numFmtId="0" fontId="26" fillId="8" borderId="0" xfId="0" applyFont="1" applyFill="1" applyBorder="1" applyAlignment="1" applyProtection="1">
      <alignment horizontal="center"/>
    </xf>
    <xf numFmtId="0" fontId="40" fillId="0" borderId="24" xfId="0" applyFont="1" applyFill="1" applyBorder="1" applyAlignment="1" applyProtection="1">
      <alignment horizontal="left"/>
    </xf>
    <xf numFmtId="0" fontId="40" fillId="0" borderId="29" xfId="0" applyFont="1" applyFill="1" applyBorder="1" applyAlignment="1" applyProtection="1">
      <alignment horizontal="left"/>
    </xf>
    <xf numFmtId="0" fontId="40" fillId="0" borderId="28" xfId="0" applyFont="1" applyFill="1" applyBorder="1" applyAlignment="1" applyProtection="1">
      <alignment horizontal="center"/>
    </xf>
    <xf numFmtId="169" fontId="26" fillId="2" borderId="31" xfId="1" applyNumberFormat="1" applyFont="1" applyFill="1" applyBorder="1" applyAlignment="1" applyProtection="1">
      <alignment horizontal="center"/>
    </xf>
    <xf numFmtId="0" fontId="26" fillId="2" borderId="0" xfId="0" applyFont="1" applyFill="1" applyBorder="1" applyAlignment="1" applyProtection="1">
      <alignment horizontal="center"/>
    </xf>
    <xf numFmtId="0" fontId="57" fillId="2" borderId="24" xfId="0" applyFont="1" applyFill="1" applyBorder="1" applyAlignment="1" applyProtection="1">
      <alignment vertical="center"/>
    </xf>
    <xf numFmtId="0" fontId="26" fillId="2" borderId="0" xfId="0" applyFont="1" applyFill="1" applyAlignment="1" applyProtection="1">
      <alignment vertical="center"/>
      <protection locked="0"/>
    </xf>
    <xf numFmtId="0" fontId="26" fillId="2" borderId="0" xfId="0" applyFont="1" applyFill="1" applyProtection="1">
      <protection locked="0"/>
    </xf>
    <xf numFmtId="0" fontId="58" fillId="2" borderId="0" xfId="0" applyFont="1" applyFill="1" applyBorder="1" applyAlignment="1" applyProtection="1"/>
    <xf numFmtId="0" fontId="26" fillId="2" borderId="0" xfId="0" applyFont="1" applyFill="1" applyBorder="1" applyAlignment="1" applyProtection="1">
      <alignment wrapText="1"/>
    </xf>
    <xf numFmtId="0" fontId="26" fillId="8" borderId="0" xfId="0" applyFont="1" applyFill="1" applyAlignment="1" applyProtection="1">
      <alignment vertical="center"/>
    </xf>
    <xf numFmtId="0" fontId="42" fillId="6" borderId="0" xfId="0" applyFont="1" applyFill="1" applyBorder="1" applyAlignment="1" applyProtection="1">
      <alignment horizontal="left" vertical="center"/>
    </xf>
    <xf numFmtId="0" fontId="26" fillId="6" borderId="0" xfId="0" applyFont="1" applyFill="1" applyAlignment="1"/>
    <xf numFmtId="0" fontId="42" fillId="16" borderId="35" xfId="0" applyFont="1" applyFill="1" applyBorder="1" applyAlignment="1" applyProtection="1">
      <alignment vertical="center"/>
    </xf>
    <xf numFmtId="0" fontId="26" fillId="0" borderId="0" xfId="0" applyFont="1" applyProtection="1">
      <protection locked="0"/>
    </xf>
    <xf numFmtId="0" fontId="27" fillId="8" borderId="0" xfId="0" applyFont="1" applyFill="1" applyBorder="1" applyAlignment="1" applyProtection="1">
      <alignment vertical="center"/>
      <protection locked="0"/>
    </xf>
    <xf numFmtId="0" fontId="26" fillId="0" borderId="0" xfId="0" applyFont="1" applyBorder="1" applyAlignment="1" applyProtection="1">
      <alignment horizontal="center" vertical="center"/>
      <protection locked="0"/>
    </xf>
    <xf numFmtId="0" fontId="26" fillId="6" borderId="0" xfId="0" applyFont="1" applyFill="1" applyProtection="1">
      <protection locked="0"/>
    </xf>
    <xf numFmtId="0" fontId="26" fillId="0" borderId="0" xfId="0" applyFont="1" applyBorder="1" applyProtection="1">
      <protection locked="0"/>
    </xf>
    <xf numFmtId="0" fontId="26" fillId="0" borderId="0" xfId="0" applyFont="1" applyBorder="1" applyAlignment="1" applyProtection="1">
      <alignment wrapText="1"/>
      <protection locked="0"/>
    </xf>
    <xf numFmtId="0" fontId="26" fillId="0" borderId="0" xfId="0" applyFont="1" applyAlignment="1" applyProtection="1">
      <alignment wrapText="1"/>
      <protection locked="0"/>
    </xf>
    <xf numFmtId="0" fontId="26" fillId="2" borderId="0" xfId="0" applyFont="1" applyFill="1" applyProtection="1"/>
    <xf numFmtId="0" fontId="27" fillId="2" borderId="0" xfId="0" applyFont="1" applyFill="1" applyBorder="1" applyAlignment="1" applyProtection="1">
      <alignment horizontal="left" vertical="top" wrapText="1"/>
    </xf>
    <xf numFmtId="0" fontId="22" fillId="6" borderId="0" xfId="0" applyFont="1" applyFill="1" applyBorder="1" applyAlignment="1" applyProtection="1">
      <alignment horizontal="left" wrapText="1"/>
    </xf>
    <xf numFmtId="0" fontId="23" fillId="2" borderId="0" xfId="0" applyFont="1" applyFill="1" applyBorder="1" applyAlignment="1" applyProtection="1">
      <alignment horizontal="center" vertical="center" wrapText="1"/>
    </xf>
    <xf numFmtId="0" fontId="51" fillId="2" borderId="0" xfId="0" applyFont="1" applyFill="1" applyBorder="1" applyAlignment="1" applyProtection="1">
      <alignment horizontal="center" wrapText="1"/>
    </xf>
    <xf numFmtId="0" fontId="42" fillId="0" borderId="17" xfId="0" applyFont="1" applyBorder="1" applyAlignment="1" applyProtection="1">
      <alignment vertical="center"/>
    </xf>
    <xf numFmtId="0" fontId="28" fillId="2" borderId="0" xfId="0" applyFont="1" applyFill="1" applyAlignment="1" applyProtection="1">
      <alignment vertical="center" wrapText="1"/>
    </xf>
    <xf numFmtId="0" fontId="63" fillId="2" borderId="0" xfId="0" applyFont="1" applyFill="1" applyBorder="1" applyProtection="1"/>
    <xf numFmtId="0" fontId="28" fillId="3" borderId="0" xfId="6" applyFont="1" applyFill="1" applyBorder="1" applyAlignment="1" applyProtection="1">
      <alignment horizontal="left" vertical="center"/>
    </xf>
    <xf numFmtId="0" fontId="26" fillId="3" borderId="0" xfId="6" applyFont="1" applyFill="1" applyBorder="1" applyAlignment="1" applyProtection="1">
      <alignment vertical="center"/>
    </xf>
    <xf numFmtId="0" fontId="35" fillId="3" borderId="0" xfId="6" applyFont="1" applyFill="1" applyBorder="1" applyAlignment="1" applyProtection="1">
      <alignment horizontal="left" vertical="center"/>
    </xf>
    <xf numFmtId="0" fontId="27" fillId="3" borderId="0" xfId="6" applyFont="1" applyFill="1" applyBorder="1" applyAlignment="1" applyProtection="1">
      <alignment vertical="center"/>
    </xf>
    <xf numFmtId="0" fontId="42" fillId="3" borderId="0" xfId="6" applyFont="1" applyFill="1" applyBorder="1" applyAlignment="1" applyProtection="1">
      <alignment horizontal="left" vertical="center"/>
    </xf>
    <xf numFmtId="0" fontId="22" fillId="6" borderId="0" xfId="0" applyFont="1" applyFill="1" applyBorder="1" applyAlignment="1" applyProtection="1">
      <alignment horizontal="left" wrapText="1"/>
    </xf>
    <xf numFmtId="0" fontId="26" fillId="0" borderId="11" xfId="0" applyFont="1" applyBorder="1" applyProtection="1">
      <protection locked="0"/>
    </xf>
    <xf numFmtId="0" fontId="26" fillId="0" borderId="17" xfId="0" applyFont="1" applyBorder="1" applyProtection="1">
      <protection locked="0"/>
    </xf>
    <xf numFmtId="0" fontId="27" fillId="0" borderId="0" xfId="0" applyFont="1" applyProtection="1"/>
    <xf numFmtId="0" fontId="66" fillId="0" borderId="0" xfId="0" applyFont="1" applyProtection="1"/>
    <xf numFmtId="0" fontId="32" fillId="8" borderId="0" xfId="0" applyFont="1" applyFill="1" applyBorder="1" applyAlignment="1" applyProtection="1">
      <alignment vertical="center"/>
    </xf>
    <xf numFmtId="0" fontId="62" fillId="6" borderId="0" xfId="0" applyFont="1" applyFill="1" applyBorder="1" applyAlignment="1" applyProtection="1">
      <alignment horizontal="left" vertical="center" wrapText="1"/>
    </xf>
    <xf numFmtId="0" fontId="22" fillId="6" borderId="0" xfId="0" applyFont="1" applyFill="1" applyBorder="1" applyAlignment="1" applyProtection="1">
      <alignment horizontal="left" vertical="center"/>
    </xf>
    <xf numFmtId="0" fontId="26" fillId="6" borderId="0" xfId="0" applyFont="1" applyFill="1" applyProtection="1"/>
    <xf numFmtId="0" fontId="26" fillId="2" borderId="10" xfId="0" applyFont="1" applyFill="1" applyBorder="1" applyProtection="1"/>
    <xf numFmtId="169" fontId="27" fillId="2" borderId="10" xfId="1" applyNumberFormat="1" applyFont="1" applyFill="1" applyBorder="1" applyProtection="1"/>
    <xf numFmtId="0" fontId="27" fillId="2" borderId="10" xfId="0" applyFont="1" applyFill="1" applyBorder="1" applyAlignment="1" applyProtection="1">
      <alignment vertical="center"/>
    </xf>
    <xf numFmtId="0" fontId="41" fillId="2" borderId="10" xfId="0" applyFont="1" applyFill="1" applyBorder="1" applyAlignment="1" applyProtection="1">
      <alignment vertical="center"/>
    </xf>
    <xf numFmtId="0" fontId="26" fillId="2" borderId="96" xfId="0" applyFont="1" applyFill="1" applyBorder="1" applyProtection="1"/>
    <xf numFmtId="0" fontId="26" fillId="6" borderId="33" xfId="0" applyFont="1" applyFill="1" applyBorder="1" applyProtection="1"/>
    <xf numFmtId="0" fontId="65" fillId="0" borderId="0" xfId="0" applyFont="1" applyAlignment="1" applyProtection="1">
      <alignment vertical="center"/>
    </xf>
    <xf numFmtId="0" fontId="66" fillId="2" borderId="0" xfId="0" applyFont="1" applyFill="1" applyProtection="1"/>
    <xf numFmtId="0" fontId="26" fillId="2" borderId="17" xfId="0" applyFont="1" applyFill="1" applyBorder="1" applyProtection="1"/>
    <xf numFmtId="0" fontId="69" fillId="6" borderId="0" xfId="0" applyFont="1" applyFill="1" applyBorder="1" applyAlignment="1" applyProtection="1">
      <alignment horizontal="left" vertical="center"/>
    </xf>
    <xf numFmtId="0" fontId="26" fillId="9" borderId="0" xfId="0" applyFont="1" applyFill="1" applyProtection="1">
      <protection locked="0"/>
    </xf>
    <xf numFmtId="0" fontId="66" fillId="0" borderId="0" xfId="0" applyFont="1" applyProtection="1">
      <protection locked="0"/>
    </xf>
    <xf numFmtId="0" fontId="32" fillId="0" borderId="0" xfId="0" applyFont="1" applyFill="1" applyBorder="1" applyAlignment="1" applyProtection="1">
      <alignment horizontal="left" vertical="center"/>
    </xf>
    <xf numFmtId="0" fontId="32" fillId="0" borderId="10" xfId="0" applyFont="1" applyFill="1" applyBorder="1" applyAlignment="1" applyProtection="1">
      <alignment horizontal="left" vertical="center"/>
    </xf>
    <xf numFmtId="0" fontId="26" fillId="9" borderId="0" xfId="0" applyFont="1" applyFill="1" applyBorder="1" applyProtection="1"/>
    <xf numFmtId="0" fontId="32" fillId="9" borderId="0" xfId="0" applyFont="1" applyFill="1" applyBorder="1" applyAlignment="1" applyProtection="1">
      <alignment horizontal="left" vertical="center"/>
    </xf>
    <xf numFmtId="0" fontId="26" fillId="9" borderId="0" xfId="0" applyFont="1" applyFill="1" applyAlignment="1" applyProtection="1">
      <alignment vertical="center"/>
    </xf>
    <xf numFmtId="0" fontId="26" fillId="9" borderId="0" xfId="0" applyFont="1" applyFill="1" applyProtection="1"/>
    <xf numFmtId="0" fontId="32" fillId="9" borderId="0" xfId="0" applyFont="1" applyFill="1" applyBorder="1" applyAlignment="1" applyProtection="1">
      <alignment horizontal="left"/>
    </xf>
    <xf numFmtId="0" fontId="42" fillId="9" borderId="27" xfId="0" applyFont="1" applyFill="1" applyBorder="1" applyAlignment="1" applyProtection="1">
      <alignment horizontal="left" vertical="center"/>
    </xf>
    <xf numFmtId="0" fontId="40" fillId="9" borderId="0" xfId="0" applyFont="1" applyFill="1" applyBorder="1" applyAlignment="1" applyProtection="1">
      <alignment horizontal="left"/>
    </xf>
    <xf numFmtId="0" fontId="65" fillId="0" borderId="0" xfId="0" applyFont="1" applyAlignment="1" applyProtection="1">
      <alignment horizontal="left" vertical="center"/>
    </xf>
    <xf numFmtId="0" fontId="26" fillId="0" borderId="0" xfId="0" applyFont="1" applyAlignment="1" applyProtection="1">
      <alignment wrapText="1"/>
    </xf>
    <xf numFmtId="0" fontId="32" fillId="0" borderId="0" xfId="0" applyFont="1" applyAlignment="1" applyProtection="1">
      <alignment horizontal="left" vertical="center" wrapText="1"/>
    </xf>
    <xf numFmtId="0" fontId="26" fillId="0" borderId="33" xfId="0" applyFont="1" applyBorder="1" applyProtection="1"/>
    <xf numFmtId="0" fontId="27" fillId="0" borderId="0" xfId="6" applyFont="1" applyFill="1" applyBorder="1" applyAlignment="1" applyProtection="1">
      <alignment vertical="center"/>
    </xf>
    <xf numFmtId="0" fontId="26" fillId="0" borderId="0" xfId="0" applyFont="1" applyAlignment="1" applyProtection="1">
      <alignment horizontal="center" vertical="center"/>
      <protection locked="0"/>
    </xf>
    <xf numFmtId="0" fontId="27" fillId="8" borderId="0" xfId="0" applyFont="1" applyFill="1" applyBorder="1" applyAlignment="1" applyProtection="1">
      <alignment horizontal="center" vertical="center"/>
      <protection locked="0"/>
    </xf>
    <xf numFmtId="0" fontId="27" fillId="8" borderId="0" xfId="0" applyFont="1" applyFill="1" applyBorder="1" applyAlignment="1" applyProtection="1">
      <alignment vertical="center" wrapText="1"/>
      <protection locked="0"/>
    </xf>
    <xf numFmtId="0" fontId="25" fillId="0" borderId="0" xfId="0" applyFont="1" applyAlignment="1" applyProtection="1">
      <alignment horizontal="center" vertical="center" wrapText="1"/>
    </xf>
    <xf numFmtId="0" fontId="26" fillId="0" borderId="0" xfId="0" applyFont="1" applyAlignment="1" applyProtection="1">
      <alignment horizontal="center" vertical="center"/>
    </xf>
    <xf numFmtId="0" fontId="27" fillId="0" borderId="4" xfId="0" applyFont="1" applyBorder="1" applyAlignment="1" applyProtection="1">
      <alignment vertical="center"/>
      <protection locked="0"/>
    </xf>
    <xf numFmtId="170" fontId="27" fillId="0" borderId="4" xfId="0" applyNumberFormat="1" applyFont="1" applyFill="1" applyBorder="1" applyAlignment="1" applyProtection="1">
      <alignment horizontal="left" vertical="center" wrapText="1"/>
      <protection locked="0"/>
    </xf>
    <xf numFmtId="0" fontId="44" fillId="0" borderId="58" xfId="0" applyFont="1" applyFill="1" applyBorder="1" applyAlignment="1" applyProtection="1">
      <alignment horizontal="left" vertical="center"/>
    </xf>
    <xf numFmtId="0" fontId="28" fillId="0" borderId="66" xfId="0" applyFont="1" applyFill="1" applyBorder="1" applyAlignment="1" applyProtection="1">
      <alignment horizontal="left" vertical="center"/>
    </xf>
    <xf numFmtId="0" fontId="59" fillId="5" borderId="4" xfId="0" applyFont="1" applyFill="1" applyBorder="1" applyAlignment="1" applyProtection="1">
      <alignment horizontal="left" vertical="center"/>
      <protection locked="0"/>
    </xf>
    <xf numFmtId="0" fontId="27" fillId="0" borderId="4" xfId="0" applyFont="1" applyFill="1" applyBorder="1" applyAlignment="1" applyProtection="1">
      <alignment horizontal="left" vertical="center" wrapText="1"/>
      <protection locked="0"/>
    </xf>
    <xf numFmtId="0" fontId="27" fillId="0" borderId="10" xfId="0" applyFont="1" applyFill="1" applyBorder="1" applyAlignment="1" applyProtection="1">
      <alignment horizontal="left" vertical="center"/>
    </xf>
    <xf numFmtId="4" fontId="27" fillId="0" borderId="10" xfId="0" applyNumberFormat="1" applyFont="1" applyFill="1" applyBorder="1" applyAlignment="1" applyProtection="1">
      <alignment horizontal="right" vertical="center"/>
    </xf>
    <xf numFmtId="170" fontId="27" fillId="0" borderId="10" xfId="0" applyNumberFormat="1" applyFont="1" applyFill="1" applyBorder="1" applyAlignment="1" applyProtection="1">
      <alignment horizontal="right" vertical="center"/>
    </xf>
    <xf numFmtId="0" fontId="27" fillId="0" borderId="10" xfId="0" applyFont="1" applyFill="1" applyBorder="1" applyAlignment="1" applyProtection="1">
      <alignment horizontal="left" vertical="center" indent="1"/>
    </xf>
    <xf numFmtId="0" fontId="44" fillId="0" borderId="10" xfId="0" applyFont="1" applyFill="1" applyBorder="1" applyAlignment="1" applyProtection="1">
      <alignment horizontal="left" vertical="center"/>
    </xf>
    <xf numFmtId="0" fontId="28" fillId="0" borderId="10" xfId="0" applyFont="1" applyFill="1" applyBorder="1" applyAlignment="1" applyProtection="1">
      <alignment horizontal="left" vertical="center"/>
    </xf>
    <xf numFmtId="170" fontId="28" fillId="5" borderId="76" xfId="0" applyNumberFormat="1" applyFont="1" applyFill="1" applyBorder="1" applyAlignment="1" applyProtection="1">
      <alignment horizontal="left" vertical="top" wrapText="1"/>
      <protection locked="0"/>
    </xf>
    <xf numFmtId="0" fontId="28" fillId="16" borderId="1" xfId="0" applyFont="1" applyFill="1" applyBorder="1" applyAlignment="1" applyProtection="1">
      <alignment horizontal="center" vertical="center" wrapText="1"/>
    </xf>
    <xf numFmtId="0" fontId="28" fillId="6" borderId="64" xfId="0" applyFont="1" applyFill="1" applyBorder="1" applyAlignment="1" applyProtection="1">
      <alignment horizontal="center" vertical="center" wrapText="1"/>
    </xf>
    <xf numFmtId="0" fontId="28" fillId="8" borderId="50" xfId="0" applyFont="1" applyFill="1" applyBorder="1" applyAlignment="1" applyProtection="1">
      <alignment horizontal="center" vertical="center" wrapText="1"/>
    </xf>
    <xf numFmtId="0" fontId="28" fillId="8" borderId="82" xfId="0" applyFont="1" applyFill="1" applyBorder="1" applyAlignment="1" applyProtection="1">
      <alignment vertical="center" wrapText="1"/>
    </xf>
    <xf numFmtId="172" fontId="28" fillId="16" borderId="50" xfId="0" applyNumberFormat="1" applyFont="1" applyFill="1" applyBorder="1" applyAlignment="1" applyProtection="1">
      <alignment horizontal="center" vertical="center" wrapText="1"/>
    </xf>
    <xf numFmtId="172" fontId="28" fillId="16" borderId="1" xfId="0" applyNumberFormat="1" applyFont="1" applyFill="1" applyBorder="1" applyAlignment="1" applyProtection="1">
      <alignment horizontal="center" vertical="center" wrapText="1"/>
    </xf>
    <xf numFmtId="172" fontId="28" fillId="16" borderId="4" xfId="0" applyNumberFormat="1" applyFont="1" applyFill="1" applyBorder="1" applyAlignment="1" applyProtection="1">
      <alignment horizontal="center" vertical="center" wrapText="1"/>
    </xf>
    <xf numFmtId="172" fontId="28" fillId="17" borderId="6" xfId="0" applyNumberFormat="1" applyFont="1" applyFill="1" applyBorder="1" applyAlignment="1" applyProtection="1">
      <alignment horizontal="center" vertical="center" wrapText="1"/>
    </xf>
    <xf numFmtId="0" fontId="28" fillId="17" borderId="13" xfId="0" applyFont="1" applyFill="1" applyBorder="1" applyAlignment="1" applyProtection="1">
      <alignment horizontal="center" vertical="center" wrapText="1"/>
    </xf>
    <xf numFmtId="0" fontId="28" fillId="17" borderId="4" xfId="0" applyFont="1" applyFill="1" applyBorder="1" applyAlignment="1" applyProtection="1">
      <alignment horizontal="center" vertical="center" wrapText="1"/>
    </xf>
    <xf numFmtId="0" fontId="27" fillId="2" borderId="0" xfId="0" applyFont="1" applyFill="1" applyProtection="1"/>
    <xf numFmtId="0" fontId="32" fillId="0" borderId="0" xfId="0" applyFont="1" applyFill="1" applyBorder="1" applyAlignment="1" applyProtection="1">
      <alignment vertical="center" wrapText="1"/>
    </xf>
    <xf numFmtId="0" fontId="62" fillId="0" borderId="0" xfId="0" applyFont="1" applyFill="1" applyBorder="1" applyAlignment="1" applyProtection="1">
      <alignment vertical="center" wrapText="1"/>
    </xf>
    <xf numFmtId="0" fontId="28" fillId="16" borderId="39" xfId="0" applyFont="1" applyFill="1" applyBorder="1" applyAlignment="1" applyProtection="1">
      <alignment horizontal="center" vertical="center" wrapText="1"/>
    </xf>
    <xf numFmtId="0" fontId="28" fillId="6" borderId="57" xfId="0" applyFont="1" applyFill="1" applyBorder="1" applyAlignment="1" applyProtection="1">
      <alignment vertical="center" wrapText="1"/>
    </xf>
    <xf numFmtId="0" fontId="28" fillId="6" borderId="53" xfId="0" applyFont="1" applyFill="1" applyBorder="1" applyAlignment="1" applyProtection="1">
      <alignment vertical="center"/>
      <protection locked="0"/>
    </xf>
    <xf numFmtId="0" fontId="28" fillId="0" borderId="64" xfId="0" applyFont="1" applyFill="1" applyBorder="1" applyAlignment="1" applyProtection="1">
      <alignment vertical="center" wrapText="1"/>
    </xf>
    <xf numFmtId="0" fontId="27" fillId="0" borderId="16" xfId="0" applyFont="1" applyFill="1" applyBorder="1" applyAlignment="1" applyProtection="1">
      <alignment vertical="center"/>
    </xf>
    <xf numFmtId="0" fontId="27" fillId="0" borderId="8" xfId="0" applyFont="1" applyFill="1" applyBorder="1" applyAlignment="1" applyProtection="1">
      <alignment vertical="center"/>
    </xf>
    <xf numFmtId="0" fontId="27" fillId="0" borderId="35" xfId="0" applyFont="1" applyFill="1" applyBorder="1" applyAlignment="1" applyProtection="1">
      <alignment vertical="center"/>
    </xf>
    <xf numFmtId="0" fontId="27" fillId="6" borderId="73" xfId="0" applyFont="1" applyFill="1" applyBorder="1" applyAlignment="1" applyProtection="1">
      <alignment vertical="center"/>
    </xf>
    <xf numFmtId="0" fontId="28" fillId="6" borderId="82" xfId="0" applyFont="1" applyFill="1" applyBorder="1" applyAlignment="1" applyProtection="1">
      <alignment vertical="center" wrapText="1"/>
    </xf>
    <xf numFmtId="173" fontId="28" fillId="6" borderId="16" xfId="0" applyNumberFormat="1" applyFont="1" applyFill="1" applyBorder="1" applyAlignment="1" applyProtection="1">
      <alignment vertical="center"/>
    </xf>
    <xf numFmtId="0" fontId="27" fillId="6" borderId="37" xfId="0" applyFont="1" applyFill="1" applyBorder="1" applyAlignment="1" applyProtection="1">
      <alignment vertical="center"/>
    </xf>
    <xf numFmtId="0" fontId="27" fillId="6" borderId="82" xfId="0" applyFont="1" applyFill="1" applyBorder="1" applyAlignment="1" applyProtection="1">
      <alignment vertical="center" wrapText="1"/>
    </xf>
    <xf numFmtId="173" fontId="27" fillId="0" borderId="13" xfId="0" applyNumberFormat="1" applyFont="1" applyFill="1" applyBorder="1" applyAlignment="1" applyProtection="1">
      <alignment vertical="center" wrapText="1"/>
      <protection locked="0"/>
    </xf>
    <xf numFmtId="0" fontId="27" fillId="6" borderId="4" xfId="0" applyFont="1" applyFill="1" applyBorder="1" applyAlignment="1" applyProtection="1">
      <alignment vertical="center"/>
      <protection locked="0"/>
    </xf>
    <xf numFmtId="0" fontId="27" fillId="6" borderId="38" xfId="0" applyFont="1" applyFill="1" applyBorder="1" applyAlignment="1" applyProtection="1">
      <alignment vertical="center" wrapText="1"/>
    </xf>
    <xf numFmtId="173" fontId="27" fillId="0" borderId="4" xfId="0" applyNumberFormat="1" applyFont="1" applyFill="1" applyBorder="1" applyAlignment="1" applyProtection="1">
      <alignment vertical="center" wrapText="1"/>
      <protection locked="0"/>
    </xf>
    <xf numFmtId="173" fontId="28" fillId="0" borderId="18" xfId="0" applyNumberFormat="1" applyFont="1" applyFill="1" applyBorder="1" applyAlignment="1" applyProtection="1">
      <alignment vertical="center" wrapText="1"/>
      <protection locked="0"/>
    </xf>
    <xf numFmtId="0" fontId="28" fillId="6" borderId="61" xfId="0" applyFont="1" applyFill="1" applyBorder="1" applyAlignment="1" applyProtection="1">
      <alignment vertical="center"/>
      <protection locked="0"/>
    </xf>
    <xf numFmtId="0" fontId="27" fillId="6" borderId="48" xfId="0" applyFont="1" applyFill="1" applyBorder="1" applyAlignment="1" applyProtection="1">
      <alignment vertical="center"/>
    </xf>
    <xf numFmtId="0" fontId="27" fillId="6" borderId="4" xfId="0" applyFont="1" applyFill="1" applyBorder="1" applyAlignment="1" applyProtection="1">
      <alignment vertical="center" wrapText="1"/>
      <protection locked="0"/>
    </xf>
    <xf numFmtId="0" fontId="28" fillId="6" borderId="86" xfId="0" applyFont="1" applyFill="1" applyBorder="1" applyAlignment="1" applyProtection="1">
      <alignment vertical="center" wrapText="1"/>
    </xf>
    <xf numFmtId="0" fontId="28" fillId="0" borderId="87" xfId="0" applyFont="1" applyFill="1" applyBorder="1" applyAlignment="1" applyProtection="1">
      <alignment vertical="center" wrapText="1"/>
    </xf>
    <xf numFmtId="0" fontId="27" fillId="6" borderId="71" xfId="0" applyFont="1" applyFill="1" applyBorder="1" applyAlignment="1" applyProtection="1">
      <alignment vertical="center"/>
      <protection locked="0"/>
    </xf>
    <xf numFmtId="173" fontId="27" fillId="6" borderId="4" xfId="0" applyNumberFormat="1" applyFont="1" applyFill="1" applyBorder="1" applyAlignment="1" applyProtection="1">
      <alignment vertical="center"/>
      <protection locked="0"/>
    </xf>
    <xf numFmtId="173" fontId="76" fillId="6" borderId="4" xfId="0" applyNumberFormat="1" applyFont="1" applyFill="1" applyBorder="1" applyAlignment="1" applyProtection="1">
      <alignment vertical="center"/>
      <protection locked="0"/>
    </xf>
    <xf numFmtId="0" fontId="28" fillId="6" borderId="80" xfId="0" applyFont="1" applyFill="1" applyBorder="1" applyAlignment="1" applyProtection="1">
      <alignment vertical="center" wrapText="1"/>
    </xf>
    <xf numFmtId="0" fontId="75" fillId="0" borderId="0" xfId="0" applyFont="1" applyFill="1" applyBorder="1" applyAlignment="1" applyProtection="1">
      <alignment vertical="center" wrapText="1"/>
    </xf>
    <xf numFmtId="173" fontId="75" fillId="0" borderId="0" xfId="0" applyNumberFormat="1" applyFont="1" applyFill="1" applyBorder="1" applyAlignment="1" applyProtection="1">
      <alignment vertical="center"/>
    </xf>
    <xf numFmtId="172" fontId="28" fillId="16" borderId="35" xfId="0" applyNumberFormat="1" applyFont="1" applyFill="1" applyBorder="1" applyAlignment="1" applyProtection="1">
      <alignment horizontal="center" vertical="center" wrapText="1"/>
    </xf>
    <xf numFmtId="172" fontId="28" fillId="16" borderId="39" xfId="0" applyNumberFormat="1" applyFont="1" applyFill="1" applyBorder="1" applyAlignment="1" applyProtection="1">
      <alignment horizontal="center" vertical="center" wrapText="1"/>
    </xf>
    <xf numFmtId="172" fontId="28" fillId="16" borderId="76" xfId="0" applyNumberFormat="1" applyFont="1" applyFill="1" applyBorder="1" applyAlignment="1" applyProtection="1">
      <alignment horizontal="center" vertical="center" wrapText="1"/>
    </xf>
    <xf numFmtId="172" fontId="28" fillId="17" borderId="50" xfId="0" applyNumberFormat="1" applyFont="1" applyFill="1" applyBorder="1" applyAlignment="1" applyProtection="1">
      <alignment horizontal="center" vertical="center" wrapText="1"/>
    </xf>
    <xf numFmtId="0" fontId="28" fillId="0" borderId="52" xfId="0" applyFont="1" applyBorder="1" applyAlignment="1" applyProtection="1">
      <alignment vertical="center" wrapText="1"/>
    </xf>
    <xf numFmtId="173" fontId="27" fillId="14" borderId="1" xfId="0" applyNumberFormat="1" applyFont="1" applyFill="1" applyBorder="1" applyAlignment="1" applyProtection="1">
      <alignment vertical="center"/>
    </xf>
    <xf numFmtId="0" fontId="27" fillId="0" borderId="50" xfId="0" applyFont="1" applyBorder="1" applyAlignment="1" applyProtection="1">
      <alignment vertical="center" wrapText="1"/>
    </xf>
    <xf numFmtId="0" fontId="27" fillId="0" borderId="80" xfId="0" applyFont="1" applyBorder="1" applyAlignment="1" applyProtection="1">
      <alignment vertical="center" wrapText="1"/>
    </xf>
    <xf numFmtId="173" fontId="27" fillId="14" borderId="45" xfId="0" applyNumberFormat="1" applyFont="1" applyFill="1" applyBorder="1" applyAlignment="1" applyProtection="1">
      <alignment vertical="center"/>
    </xf>
    <xf numFmtId="173" fontId="27" fillId="0" borderId="53" xfId="0" applyNumberFormat="1" applyFont="1" applyFill="1" applyBorder="1" applyAlignment="1" applyProtection="1">
      <alignment vertical="center" wrapText="1"/>
      <protection locked="0"/>
    </xf>
    <xf numFmtId="0" fontId="27" fillId="6" borderId="53" xfId="0" applyFont="1" applyFill="1" applyBorder="1" applyAlignment="1" applyProtection="1">
      <alignment vertical="center" wrapText="1"/>
      <protection locked="0"/>
    </xf>
    <xf numFmtId="0" fontId="28" fillId="8" borderId="43" xfId="0" applyFont="1" applyFill="1" applyBorder="1" applyAlignment="1" applyProtection="1">
      <alignment horizontal="left" vertical="center" wrapText="1"/>
    </xf>
    <xf numFmtId="0" fontId="28" fillId="8" borderId="41" xfId="0" applyFont="1" applyFill="1" applyBorder="1" applyAlignment="1" applyProtection="1">
      <alignment horizontal="left" vertical="center" wrapText="1"/>
    </xf>
    <xf numFmtId="172" fontId="28" fillId="16" borderId="50" xfId="0" applyNumberFormat="1" applyFont="1" applyFill="1" applyBorder="1" applyAlignment="1" applyProtection="1">
      <alignment horizontal="center" wrapText="1"/>
    </xf>
    <xf numFmtId="172" fontId="28" fillId="16" borderId="1" xfId="0" applyNumberFormat="1" applyFont="1" applyFill="1" applyBorder="1" applyAlignment="1" applyProtection="1">
      <alignment horizontal="center" wrapText="1"/>
    </xf>
    <xf numFmtId="0" fontId="28" fillId="16" borderId="1" xfId="0" applyFont="1" applyFill="1" applyBorder="1" applyAlignment="1" applyProtection="1">
      <alignment horizontal="center" wrapText="1"/>
    </xf>
    <xf numFmtId="172" fontId="28" fillId="16" borderId="4" xfId="0" applyNumberFormat="1" applyFont="1" applyFill="1" applyBorder="1" applyAlignment="1" applyProtection="1">
      <alignment horizontal="center" wrapText="1"/>
    </xf>
    <xf numFmtId="172" fontId="28" fillId="17" borderId="50" xfId="0" applyNumberFormat="1" applyFont="1" applyFill="1" applyBorder="1" applyAlignment="1" applyProtection="1">
      <alignment horizontal="center" wrapText="1"/>
    </xf>
    <xf numFmtId="0" fontId="28" fillId="17" borderId="1" xfId="0" applyFont="1" applyFill="1" applyBorder="1" applyAlignment="1" applyProtection="1">
      <alignment horizontal="center" wrapText="1"/>
    </xf>
    <xf numFmtId="0" fontId="28" fillId="17" borderId="37" xfId="0" applyFont="1" applyFill="1" applyBorder="1" applyAlignment="1" applyProtection="1">
      <alignment horizontal="center" wrapText="1"/>
    </xf>
    <xf numFmtId="0" fontId="27" fillId="6" borderId="59" xfId="0" applyFont="1" applyFill="1" applyBorder="1" applyAlignment="1" applyProtection="1">
      <alignment vertical="center" wrapText="1"/>
    </xf>
    <xf numFmtId="0" fontId="28" fillId="6" borderId="4" xfId="0" applyFont="1" applyFill="1" applyBorder="1" applyAlignment="1" applyProtection="1">
      <alignment vertical="center" wrapText="1"/>
      <protection locked="0"/>
    </xf>
    <xf numFmtId="0" fontId="28" fillId="0" borderId="53" xfId="0" applyFont="1" applyFill="1" applyBorder="1" applyAlignment="1" applyProtection="1">
      <alignment vertical="center" wrapText="1"/>
      <protection locked="0"/>
    </xf>
    <xf numFmtId="0" fontId="28" fillId="6" borderId="53" xfId="0" applyFont="1" applyFill="1" applyBorder="1" applyAlignment="1" applyProtection="1">
      <alignment vertical="center" wrapText="1"/>
      <protection locked="0"/>
    </xf>
    <xf numFmtId="0" fontId="27" fillId="0" borderId="0" xfId="0" applyFont="1" applyAlignment="1" applyProtection="1">
      <alignment wrapText="1"/>
    </xf>
    <xf numFmtId="0" fontId="27" fillId="0" borderId="0" xfId="0" applyFont="1" applyBorder="1" applyProtection="1"/>
    <xf numFmtId="0" fontId="27" fillId="0" borderId="0" xfId="0" applyFont="1" applyAlignment="1" applyProtection="1">
      <alignment vertical="center"/>
    </xf>
    <xf numFmtId="0" fontId="26" fillId="0" borderId="61" xfId="0" applyFont="1" applyFill="1" applyBorder="1" applyAlignment="1" applyProtection="1">
      <alignment vertical="center"/>
    </xf>
    <xf numFmtId="0" fontId="32" fillId="0" borderId="11" xfId="0" applyFont="1" applyFill="1" applyBorder="1" applyAlignment="1" applyProtection="1">
      <alignment vertical="center" wrapText="1"/>
    </xf>
    <xf numFmtId="0" fontId="27" fillId="0" borderId="11" xfId="0" applyFont="1" applyBorder="1" applyProtection="1"/>
    <xf numFmtId="0" fontId="32" fillId="0" borderId="33" xfId="0" applyFont="1" applyFill="1" applyBorder="1" applyAlignment="1" applyProtection="1">
      <alignment horizontal="left" vertical="center"/>
    </xf>
    <xf numFmtId="0" fontId="26" fillId="0" borderId="33" xfId="0" applyFont="1" applyFill="1" applyBorder="1" applyAlignment="1" applyProtection="1">
      <alignment vertical="center"/>
    </xf>
    <xf numFmtId="0" fontId="32" fillId="7" borderId="33" xfId="0" applyFont="1" applyFill="1" applyBorder="1" applyAlignment="1" applyProtection="1">
      <alignment vertical="center" wrapText="1"/>
    </xf>
    <xf numFmtId="0" fontId="26" fillId="0" borderId="20" xfId="0" applyFont="1" applyBorder="1"/>
    <xf numFmtId="0" fontId="26" fillId="0" borderId="20" xfId="0" applyFont="1" applyBorder="1" applyProtection="1"/>
    <xf numFmtId="170" fontId="27" fillId="0" borderId="71" xfId="0" applyNumberFormat="1" applyFont="1" applyFill="1" applyBorder="1" applyAlignment="1" applyProtection="1">
      <alignment horizontal="left" vertical="center" wrapText="1"/>
      <protection locked="0"/>
    </xf>
    <xf numFmtId="0" fontId="62" fillId="0" borderId="0" xfId="0" applyFont="1" applyAlignment="1" applyProtection="1">
      <alignment vertical="center"/>
    </xf>
    <xf numFmtId="0" fontId="27" fillId="2" borderId="41" xfId="0" applyFont="1" applyFill="1" applyBorder="1" applyAlignment="1" applyProtection="1">
      <alignment vertical="center"/>
      <protection locked="0"/>
    </xf>
    <xf numFmtId="170" fontId="27" fillId="0" borderId="76" xfId="0" applyNumberFormat="1" applyFont="1" applyFill="1" applyBorder="1" applyAlignment="1" applyProtection="1">
      <alignment horizontal="left" vertical="center"/>
      <protection locked="0"/>
    </xf>
    <xf numFmtId="170" fontId="27" fillId="0" borderId="4" xfId="0" applyNumberFormat="1" applyFont="1" applyFill="1" applyBorder="1" applyAlignment="1" applyProtection="1">
      <alignment horizontal="left" vertical="center"/>
      <protection locked="0"/>
    </xf>
    <xf numFmtId="170" fontId="27" fillId="0" borderId="71" xfId="0" applyNumberFormat="1" applyFont="1" applyFill="1" applyBorder="1" applyAlignment="1" applyProtection="1">
      <alignment horizontal="left" vertical="center"/>
      <protection locked="0"/>
    </xf>
    <xf numFmtId="170" fontId="27" fillId="0" borderId="75" xfId="0" applyNumberFormat="1" applyFont="1" applyFill="1" applyBorder="1" applyAlignment="1" applyProtection="1">
      <alignment horizontal="left" vertical="center"/>
    </xf>
    <xf numFmtId="0" fontId="27" fillId="2" borderId="10" xfId="0" applyFont="1" applyFill="1" applyBorder="1" applyAlignment="1" applyProtection="1">
      <alignment horizontal="left" vertical="center"/>
    </xf>
    <xf numFmtId="4" fontId="27" fillId="2" borderId="10" xfId="0" applyNumberFormat="1" applyFont="1" applyFill="1" applyBorder="1" applyAlignment="1" applyProtection="1">
      <alignment horizontal="right" vertical="center"/>
    </xf>
    <xf numFmtId="170" fontId="27" fillId="2" borderId="10" xfId="0" applyNumberFormat="1" applyFont="1" applyFill="1" applyBorder="1" applyAlignment="1" applyProtection="1">
      <alignment horizontal="right" vertical="center"/>
    </xf>
    <xf numFmtId="0" fontId="28" fillId="0" borderId="67" xfId="0" applyFont="1" applyFill="1" applyBorder="1" applyAlignment="1" applyProtection="1">
      <alignment horizontal="center" vertical="center"/>
    </xf>
    <xf numFmtId="0" fontId="28" fillId="11" borderId="11" xfId="0" applyFont="1" applyFill="1" applyBorder="1" applyAlignment="1" applyProtection="1">
      <alignment horizontal="center" vertical="center"/>
      <protection locked="0"/>
    </xf>
    <xf numFmtId="0" fontId="28" fillId="6" borderId="10" xfId="0" applyFont="1" applyFill="1" applyBorder="1" applyAlignment="1" applyProtection="1"/>
    <xf numFmtId="0" fontId="28" fillId="6" borderId="58" xfId="0" applyFont="1" applyFill="1" applyBorder="1" applyAlignment="1" applyProtection="1"/>
    <xf numFmtId="0" fontId="27" fillId="2" borderId="58" xfId="0" applyFont="1" applyFill="1" applyBorder="1" applyProtection="1"/>
    <xf numFmtId="169" fontId="27" fillId="2" borderId="11" xfId="1" applyNumberFormat="1" applyFont="1" applyFill="1" applyBorder="1" applyProtection="1"/>
    <xf numFmtId="0" fontId="28" fillId="11" borderId="36" xfId="0" applyFont="1" applyFill="1" applyBorder="1" applyAlignment="1" applyProtection="1">
      <alignment horizontal="center" vertical="center" wrapText="1"/>
    </xf>
    <xf numFmtId="0" fontId="28" fillId="11" borderId="2" xfId="0" applyFont="1" applyFill="1" applyBorder="1" applyAlignment="1" applyProtection="1">
      <alignment horizontal="center" vertical="center" wrapText="1"/>
    </xf>
    <xf numFmtId="0" fontId="28" fillId="6" borderId="43" xfId="0" applyFont="1" applyFill="1" applyBorder="1" applyAlignment="1" applyProtection="1">
      <alignment horizontal="center" vertical="center"/>
      <protection locked="0"/>
    </xf>
    <xf numFmtId="0" fontId="28" fillId="6" borderId="59" xfId="0" applyFont="1" applyFill="1" applyBorder="1" applyAlignment="1" applyProtection="1">
      <alignment horizontal="center" vertical="center"/>
      <protection locked="0"/>
    </xf>
    <xf numFmtId="0" fontId="28" fillId="6" borderId="38" xfId="0" applyFont="1" applyFill="1" applyBorder="1" applyAlignment="1" applyProtection="1">
      <alignment horizontal="center" vertical="center"/>
      <protection locked="0"/>
    </xf>
    <xf numFmtId="0" fontId="28" fillId="6" borderId="88" xfId="0" applyFont="1" applyFill="1" applyBorder="1" applyAlignment="1" applyProtection="1">
      <alignment horizontal="center" vertical="center"/>
      <protection locked="0"/>
    </xf>
    <xf numFmtId="0" fontId="28" fillId="6" borderId="11" xfId="0" applyFont="1" applyFill="1" applyBorder="1" applyAlignment="1" applyProtection="1">
      <alignment horizontal="center" vertical="center"/>
      <protection locked="0"/>
    </xf>
    <xf numFmtId="0" fontId="28" fillId="6" borderId="93" xfId="0" applyFont="1" applyFill="1" applyBorder="1" applyAlignment="1" applyProtection="1">
      <alignment horizontal="center" vertical="center"/>
      <protection locked="0"/>
    </xf>
    <xf numFmtId="0" fontId="28" fillId="6" borderId="86" xfId="0" applyFont="1" applyFill="1" applyBorder="1" applyAlignment="1" applyProtection="1">
      <alignment horizontal="center" vertical="center"/>
      <protection locked="0"/>
    </xf>
    <xf numFmtId="170" fontId="27" fillId="6" borderId="33" xfId="0" applyNumberFormat="1" applyFont="1" applyFill="1" applyBorder="1" applyAlignment="1" applyProtection="1">
      <alignment horizontal="right" vertical="center"/>
    </xf>
    <xf numFmtId="0" fontId="28" fillId="6" borderId="0" xfId="0" applyFont="1" applyFill="1" applyBorder="1" applyAlignment="1" applyProtection="1">
      <alignment horizontal="center"/>
    </xf>
    <xf numFmtId="0" fontId="28" fillId="2" borderId="23" xfId="0" applyFont="1" applyFill="1" applyBorder="1" applyAlignment="1" applyProtection="1">
      <alignment horizontal="left"/>
    </xf>
    <xf numFmtId="0" fontId="43" fillId="2" borderId="23" xfId="0" applyFont="1" applyFill="1" applyBorder="1" applyAlignment="1" applyProtection="1">
      <alignment horizontal="left"/>
    </xf>
    <xf numFmtId="0" fontId="43" fillId="2" borderId="30" xfId="0" applyFont="1" applyFill="1" applyBorder="1" applyAlignment="1" applyProtection="1">
      <alignment horizontal="left"/>
    </xf>
    <xf numFmtId="0" fontId="43" fillId="2" borderId="56" xfId="0" applyFont="1" applyFill="1" applyBorder="1" applyAlignment="1" applyProtection="1">
      <alignment horizontal="left"/>
    </xf>
    <xf numFmtId="0" fontId="27" fillId="2" borderId="29" xfId="0" applyFont="1" applyFill="1" applyBorder="1" applyAlignment="1" applyProtection="1">
      <alignment horizontal="left" vertical="center" wrapText="1"/>
    </xf>
    <xf numFmtId="170" fontId="27" fillId="2" borderId="30" xfId="0" applyNumberFormat="1" applyFont="1" applyFill="1" applyBorder="1" applyAlignment="1" applyProtection="1">
      <alignment horizontal="right" vertical="center"/>
    </xf>
    <xf numFmtId="170" fontId="27" fillId="2" borderId="56" xfId="0" applyNumberFormat="1" applyFont="1" applyFill="1" applyBorder="1" applyAlignment="1" applyProtection="1">
      <alignment horizontal="right" vertical="center"/>
    </xf>
    <xf numFmtId="0" fontId="27" fillId="0" borderId="23" xfId="0" applyFont="1" applyFill="1" applyBorder="1" applyAlignment="1" applyProtection="1">
      <alignment horizontal="left" vertical="center"/>
    </xf>
    <xf numFmtId="0" fontId="27" fillId="0" borderId="31" xfId="0" applyFont="1" applyFill="1" applyBorder="1" applyAlignment="1" applyProtection="1">
      <alignment horizontal="left" vertical="center"/>
    </xf>
    <xf numFmtId="0" fontId="28" fillId="16" borderId="40" xfId="0" applyFont="1" applyFill="1" applyBorder="1" applyAlignment="1" applyProtection="1">
      <alignment horizontal="center" vertical="center"/>
    </xf>
    <xf numFmtId="0" fontId="28" fillId="16" borderId="55" xfId="0" applyFont="1" applyFill="1" applyBorder="1" applyAlignment="1" applyProtection="1">
      <alignment horizontal="center" vertical="center"/>
    </xf>
    <xf numFmtId="0" fontId="28" fillId="0" borderId="62" xfId="0" applyFont="1" applyFill="1" applyBorder="1" applyAlignment="1" applyProtection="1">
      <alignment horizontal="left" vertical="center" wrapText="1"/>
    </xf>
    <xf numFmtId="0" fontId="27" fillId="0" borderId="62" xfId="0" applyFont="1" applyFill="1" applyBorder="1" applyAlignment="1" applyProtection="1">
      <alignment wrapText="1"/>
    </xf>
    <xf numFmtId="0" fontId="28" fillId="0" borderId="62" xfId="0" applyFont="1" applyFill="1" applyBorder="1" applyAlignment="1" applyProtection="1">
      <alignment horizontal="center" vertical="center"/>
    </xf>
    <xf numFmtId="0" fontId="28" fillId="0" borderId="30" xfId="0" applyFont="1" applyFill="1" applyBorder="1" applyAlignment="1" applyProtection="1">
      <alignment horizontal="center" vertical="center" wrapText="1"/>
    </xf>
    <xf numFmtId="0" fontId="27" fillId="0" borderId="62" xfId="0" applyFont="1" applyFill="1" applyBorder="1" applyAlignment="1" applyProtection="1">
      <alignment vertical="center" wrapText="1"/>
    </xf>
    <xf numFmtId="0" fontId="27" fillId="0" borderId="30" xfId="0" applyFont="1" applyFill="1" applyBorder="1" applyAlignment="1" applyProtection="1">
      <alignment vertical="center" wrapText="1"/>
    </xf>
    <xf numFmtId="0" fontId="28" fillId="0" borderId="30" xfId="0" applyFont="1" applyFill="1" applyBorder="1" applyAlignment="1" applyProtection="1">
      <alignment horizontal="center" vertical="center"/>
    </xf>
    <xf numFmtId="0" fontId="28" fillId="0" borderId="62" xfId="0" applyFont="1" applyFill="1" applyBorder="1" applyAlignment="1" applyProtection="1">
      <alignment horizontal="center" vertical="center" wrapText="1"/>
    </xf>
    <xf numFmtId="0" fontId="27" fillId="0" borderId="30" xfId="0" applyFont="1" applyFill="1" applyBorder="1" applyAlignment="1" applyProtection="1">
      <alignment horizontal="center" vertical="center" wrapText="1"/>
    </xf>
    <xf numFmtId="0" fontId="27" fillId="0" borderId="62" xfId="0" applyFont="1" applyFill="1" applyBorder="1" applyAlignment="1" applyProtection="1">
      <alignment horizontal="center" vertical="center" wrapText="1"/>
    </xf>
    <xf numFmtId="0" fontId="27" fillId="0" borderId="56" xfId="0" applyFont="1" applyFill="1" applyBorder="1" applyAlignment="1" applyProtection="1">
      <alignment horizontal="center" vertical="center" wrapText="1"/>
    </xf>
    <xf numFmtId="0" fontId="28" fillId="16" borderId="33" xfId="0" applyFont="1" applyFill="1" applyBorder="1" applyAlignment="1" applyProtection="1">
      <alignment vertical="center"/>
    </xf>
    <xf numFmtId="0" fontId="27" fillId="16" borderId="33" xfId="0" applyFont="1" applyFill="1" applyBorder="1"/>
    <xf numFmtId="0" fontId="27" fillId="16" borderId="94" xfId="0" applyFont="1" applyFill="1" applyBorder="1"/>
    <xf numFmtId="0" fontId="27" fillId="16" borderId="26" xfId="0" applyFont="1" applyFill="1" applyBorder="1" applyAlignment="1" applyProtection="1">
      <alignment vertical="center"/>
    </xf>
    <xf numFmtId="0" fontId="28" fillId="16" borderId="95" xfId="0" applyFont="1" applyFill="1" applyBorder="1" applyAlignment="1" applyProtection="1"/>
    <xf numFmtId="0" fontId="27" fillId="2" borderId="0" xfId="0" applyFont="1" applyFill="1" applyBorder="1" applyAlignment="1" applyProtection="1">
      <alignment vertical="center"/>
    </xf>
    <xf numFmtId="0" fontId="28" fillId="2" borderId="0" xfId="0" applyFont="1" applyFill="1" applyBorder="1" applyAlignment="1" applyProtection="1">
      <alignment horizontal="center" vertical="center"/>
    </xf>
    <xf numFmtId="0" fontId="28" fillId="2" borderId="10" xfId="0" applyFont="1" applyFill="1" applyBorder="1" applyAlignment="1" applyProtection="1"/>
    <xf numFmtId="0" fontId="28" fillId="16" borderId="65" xfId="0" applyFont="1" applyFill="1" applyBorder="1" applyAlignment="1" applyProtection="1">
      <alignment horizontal="center" vertical="center" wrapText="1"/>
    </xf>
    <xf numFmtId="0" fontId="28" fillId="16" borderId="65" xfId="0" applyFont="1" applyFill="1" applyBorder="1" applyAlignment="1" applyProtection="1">
      <alignment horizontal="center" vertical="center"/>
    </xf>
    <xf numFmtId="0" fontId="28" fillId="16" borderId="75" xfId="0" applyFont="1" applyFill="1" applyBorder="1" applyAlignment="1" applyProtection="1">
      <alignment horizontal="center" vertical="center" wrapText="1"/>
    </xf>
    <xf numFmtId="177" fontId="27" fillId="0" borderId="39" xfId="0" applyNumberFormat="1" applyFont="1" applyFill="1" applyBorder="1" applyAlignment="1" applyProtection="1">
      <alignment horizontal="center" vertical="center"/>
      <protection locked="0"/>
    </xf>
    <xf numFmtId="177" fontId="27" fillId="16" borderId="39" xfId="0" applyNumberFormat="1" applyFont="1" applyFill="1" applyBorder="1" applyAlignment="1" applyProtection="1">
      <alignment horizontal="center" vertical="center"/>
    </xf>
    <xf numFmtId="177" fontId="27" fillId="0" borderId="1" xfId="0" applyNumberFormat="1" applyFont="1" applyFill="1" applyBorder="1" applyAlignment="1" applyProtection="1">
      <alignment horizontal="center" vertical="center"/>
      <protection locked="0"/>
    </xf>
    <xf numFmtId="177" fontId="27" fillId="0" borderId="21" xfId="0" applyNumberFormat="1" applyFont="1" applyFill="1" applyBorder="1" applyAlignment="1" applyProtection="1">
      <alignment horizontal="center" vertical="center"/>
      <protection locked="0"/>
    </xf>
    <xf numFmtId="177" fontId="27" fillId="16" borderId="65" xfId="0" applyNumberFormat="1" applyFont="1" applyFill="1" applyBorder="1" applyAlignment="1" applyProtection="1">
      <alignment horizontal="center" vertical="center"/>
    </xf>
    <xf numFmtId="0" fontId="28" fillId="6" borderId="33" xfId="0" applyFont="1" applyFill="1" applyBorder="1" applyAlignment="1" applyProtection="1">
      <alignment horizontal="right" vertical="center"/>
    </xf>
    <xf numFmtId="0" fontId="28" fillId="6" borderId="0" xfId="0" applyFont="1" applyFill="1" applyBorder="1" applyAlignment="1" applyProtection="1">
      <alignment horizontal="right" vertical="center"/>
    </xf>
    <xf numFmtId="170" fontId="27" fillId="6" borderId="0" xfId="0" applyNumberFormat="1" applyFont="1" applyFill="1" applyBorder="1" applyAlignment="1" applyProtection="1">
      <alignment horizontal="right" vertical="center"/>
    </xf>
    <xf numFmtId="170" fontId="28" fillId="6" borderId="0" xfId="0" applyNumberFormat="1" applyFont="1" applyFill="1" applyBorder="1" applyAlignment="1" applyProtection="1">
      <alignment horizontal="right" vertical="center"/>
    </xf>
    <xf numFmtId="0" fontId="27" fillId="6" borderId="0" xfId="0" applyFont="1" applyFill="1" applyBorder="1" applyAlignment="1" applyProtection="1">
      <alignment horizontal="right" vertical="center"/>
    </xf>
    <xf numFmtId="0" fontId="28" fillId="16" borderId="41" xfId="0" applyFont="1" applyFill="1" applyBorder="1" applyAlignment="1" applyProtection="1">
      <alignment horizontal="center" vertical="center" wrapText="1"/>
    </xf>
    <xf numFmtId="0" fontId="77" fillId="2" borderId="0" xfId="0" applyFont="1" applyFill="1" applyBorder="1" applyProtection="1"/>
    <xf numFmtId="15" fontId="27" fillId="2" borderId="50" xfId="0" applyNumberFormat="1" applyFont="1" applyFill="1" applyBorder="1" applyAlignment="1" applyProtection="1">
      <alignment horizontal="center" vertical="center"/>
      <protection locked="0"/>
    </xf>
    <xf numFmtId="173" fontId="28" fillId="6" borderId="17" xfId="0" applyNumberFormat="1" applyFont="1" applyFill="1" applyBorder="1" applyAlignment="1" applyProtection="1">
      <alignment vertical="center" wrapText="1"/>
      <protection locked="0"/>
    </xf>
    <xf numFmtId="0" fontId="28" fillId="4" borderId="4" xfId="0" applyFont="1" applyFill="1" applyBorder="1" applyAlignment="1" applyProtection="1">
      <alignment horizontal="center" vertical="center" wrapText="1"/>
    </xf>
    <xf numFmtId="0" fontId="28" fillId="12" borderId="53" xfId="0" applyFont="1" applyFill="1" applyBorder="1" applyAlignment="1" applyProtection="1">
      <alignment horizontal="center" vertical="center" wrapText="1"/>
    </xf>
    <xf numFmtId="0" fontId="28" fillId="16" borderId="36" xfId="0" applyFont="1" applyFill="1" applyBorder="1" applyAlignment="1" applyProtection="1">
      <alignment horizontal="center" vertical="center" wrapText="1"/>
    </xf>
    <xf numFmtId="0" fontId="28" fillId="12" borderId="36" xfId="0" applyFont="1" applyFill="1" applyBorder="1" applyAlignment="1" applyProtection="1">
      <alignment horizontal="center" vertical="center" wrapText="1"/>
    </xf>
    <xf numFmtId="0" fontId="59" fillId="5" borderId="12" xfId="0" applyFont="1" applyFill="1" applyBorder="1" applyAlignment="1" applyProtection="1">
      <alignment horizontal="left" vertical="center"/>
      <protection locked="0"/>
    </xf>
    <xf numFmtId="0" fontId="28" fillId="16" borderId="43" xfId="0" applyFont="1" applyFill="1" applyBorder="1" applyAlignment="1" applyProtection="1">
      <alignment horizontal="center" vertical="center" wrapText="1"/>
    </xf>
    <xf numFmtId="0" fontId="28" fillId="16" borderId="14" xfId="0" applyFont="1" applyFill="1" applyBorder="1" applyAlignment="1" applyProtection="1">
      <alignment horizontal="center" vertical="center" wrapText="1"/>
    </xf>
    <xf numFmtId="170" fontId="28" fillId="5" borderId="54" xfId="0" applyNumberFormat="1" applyFont="1" applyFill="1" applyBorder="1" applyAlignment="1" applyProtection="1">
      <alignment horizontal="right" vertical="center" wrapText="1"/>
      <protection locked="0"/>
    </xf>
    <xf numFmtId="170" fontId="28" fillId="5" borderId="83" xfId="0" applyNumberFormat="1" applyFont="1" applyFill="1" applyBorder="1" applyAlignment="1" applyProtection="1">
      <alignment horizontal="right" vertical="center" wrapText="1"/>
      <protection locked="0"/>
    </xf>
    <xf numFmtId="0" fontId="28" fillId="16" borderId="84" xfId="0" applyFont="1" applyFill="1" applyBorder="1" applyAlignment="1" applyProtection="1">
      <alignment horizontal="center" vertical="center" wrapText="1"/>
    </xf>
    <xf numFmtId="0" fontId="28" fillId="4" borderId="1" xfId="0" applyFont="1" applyFill="1" applyBorder="1" applyAlignment="1" applyProtection="1">
      <alignment horizontal="center" vertical="center" wrapText="1"/>
    </xf>
    <xf numFmtId="0" fontId="27" fillId="0" borderId="33" xfId="0" applyFont="1" applyBorder="1" applyProtection="1"/>
    <xf numFmtId="0" fontId="35" fillId="6" borderId="0" xfId="0" applyFont="1" applyFill="1" applyBorder="1" applyAlignment="1" applyProtection="1">
      <alignment horizontal="left" vertical="center"/>
    </xf>
    <xf numFmtId="0" fontId="32" fillId="2" borderId="0" xfId="0" applyFont="1" applyFill="1" applyAlignment="1" applyProtection="1">
      <alignment horizontal="left" vertical="center" wrapText="1"/>
    </xf>
    <xf numFmtId="0" fontId="22" fillId="8" borderId="1" xfId="0" applyFont="1" applyFill="1" applyBorder="1" applyAlignment="1" applyProtection="1">
      <alignment horizontal="left" vertical="center"/>
    </xf>
    <xf numFmtId="0" fontId="22" fillId="8" borderId="1" xfId="0" applyFont="1" applyFill="1" applyBorder="1" applyAlignment="1" applyProtection="1">
      <alignment vertical="center"/>
    </xf>
    <xf numFmtId="0" fontId="22" fillId="6" borderId="0" xfId="0" applyFont="1" applyFill="1" applyBorder="1" applyAlignment="1" applyProtection="1">
      <alignment vertical="center"/>
    </xf>
    <xf numFmtId="0" fontId="32" fillId="9" borderId="0" xfId="0" applyFont="1" applyFill="1" applyProtection="1"/>
    <xf numFmtId="0" fontId="28" fillId="6" borderId="0" xfId="0" applyFont="1" applyFill="1" applyBorder="1" applyAlignment="1" applyProtection="1"/>
    <xf numFmtId="0" fontId="22" fillId="8" borderId="13" xfId="0" applyFont="1" applyFill="1" applyBorder="1" applyAlignment="1" applyProtection="1">
      <alignment vertical="center"/>
    </xf>
    <xf numFmtId="0" fontId="22" fillId="8" borderId="16" xfId="0" applyFont="1" applyFill="1" applyBorder="1" applyAlignment="1" applyProtection="1">
      <alignment vertical="center"/>
    </xf>
    <xf numFmtId="0" fontId="22" fillId="8" borderId="6" xfId="0" applyFont="1" applyFill="1" applyBorder="1" applyAlignment="1" applyProtection="1">
      <alignment vertical="center"/>
    </xf>
    <xf numFmtId="0" fontId="40" fillId="6" borderId="0" xfId="0" applyFont="1" applyFill="1" applyBorder="1" applyAlignment="1" applyProtection="1">
      <alignment horizontal="left"/>
    </xf>
    <xf numFmtId="0" fontId="0" fillId="6" borderId="0" xfId="0" applyFill="1" applyProtection="1"/>
    <xf numFmtId="0" fontId="23" fillId="6" borderId="20" xfId="0" applyFont="1" applyFill="1" applyBorder="1" applyAlignment="1" applyProtection="1">
      <alignment horizontal="left" vertical="center"/>
    </xf>
    <xf numFmtId="0" fontId="23" fillId="6" borderId="17" xfId="0" applyFont="1" applyFill="1" applyBorder="1" applyAlignment="1" applyProtection="1">
      <alignment horizontal="left" vertical="center"/>
    </xf>
    <xf numFmtId="0" fontId="26" fillId="2" borderId="20" xfId="0" applyFont="1" applyFill="1" applyBorder="1" applyProtection="1"/>
    <xf numFmtId="0" fontId="22" fillId="9" borderId="1" xfId="0" applyFont="1" applyFill="1" applyBorder="1" applyAlignment="1" applyProtection="1">
      <alignment horizontal="left" vertical="center"/>
    </xf>
    <xf numFmtId="0" fontId="22" fillId="9" borderId="1" xfId="0" applyFont="1" applyFill="1" applyBorder="1" applyAlignment="1" applyProtection="1">
      <alignment vertical="center"/>
    </xf>
    <xf numFmtId="0" fontId="32" fillId="6" borderId="0" xfId="0" applyFont="1" applyFill="1" applyAlignment="1" applyProtection="1">
      <alignment horizontal="left" vertical="center" wrapText="1"/>
    </xf>
    <xf numFmtId="173" fontId="75" fillId="6" borderId="53" xfId="0" applyNumberFormat="1" applyFont="1" applyFill="1" applyBorder="1" applyAlignment="1" applyProtection="1">
      <alignment vertical="center"/>
      <protection locked="0"/>
    </xf>
    <xf numFmtId="0" fontId="32" fillId="6" borderId="0" xfId="0" applyFont="1" applyFill="1" applyAlignment="1" applyProtection="1">
      <alignment vertical="center" wrapText="1"/>
    </xf>
    <xf numFmtId="0" fontId="28" fillId="2" borderId="0" xfId="0" applyFont="1" applyFill="1" applyAlignment="1" applyProtection="1">
      <alignment horizontal="left" vertical="center"/>
    </xf>
    <xf numFmtId="0" fontId="25" fillId="2" borderId="0" xfId="0" applyFont="1" applyFill="1" applyBorder="1" applyAlignment="1" applyProtection="1">
      <alignment horizontal="left" vertical="center" wrapText="1"/>
    </xf>
    <xf numFmtId="0" fontId="26" fillId="0" borderId="0" xfId="5" applyFont="1" applyProtection="1">
      <protection locked="0"/>
    </xf>
    <xf numFmtId="0" fontId="26" fillId="0" borderId="0" xfId="5" applyFont="1" applyProtection="1"/>
    <xf numFmtId="0" fontId="27" fillId="0" borderId="0" xfId="5" applyFont="1" applyProtection="1">
      <protection locked="0"/>
    </xf>
    <xf numFmtId="0" fontId="27" fillId="0" borderId="0" xfId="5" applyFont="1" applyProtection="1"/>
    <xf numFmtId="0" fontId="27" fillId="0" borderId="0" xfId="5" applyFont="1" applyFill="1" applyBorder="1" applyProtection="1"/>
    <xf numFmtId="0" fontId="27" fillId="0" borderId="0" xfId="5" applyFont="1" applyAlignment="1" applyProtection="1">
      <alignment vertical="center"/>
      <protection locked="0"/>
    </xf>
    <xf numFmtId="0" fontId="26" fillId="8" borderId="0" xfId="5" applyFont="1" applyFill="1" applyAlignment="1" applyProtection="1">
      <alignment vertical="center"/>
    </xf>
    <xf numFmtId="0" fontId="26" fillId="0" borderId="0" xfId="5" applyFont="1"/>
    <xf numFmtId="0" fontId="64" fillId="0" borderId="0" xfId="5" applyFont="1" applyProtection="1"/>
    <xf numFmtId="0" fontId="26" fillId="0" borderId="0" xfId="5" applyFont="1" applyAlignment="1">
      <alignment vertical="center"/>
    </xf>
    <xf numFmtId="0" fontId="26" fillId="0" borderId="0" xfId="5" applyFont="1" applyBorder="1"/>
    <xf numFmtId="177" fontId="27" fillId="16" borderId="60" xfId="0" applyNumberFormat="1" applyFont="1" applyFill="1" applyBorder="1" applyAlignment="1" applyProtection="1">
      <alignment horizontal="center" vertical="center"/>
    </xf>
    <xf numFmtId="177" fontId="27" fillId="16" borderId="63" xfId="0" applyNumberFormat="1" applyFont="1" applyFill="1" applyBorder="1" applyAlignment="1" applyProtection="1">
      <alignment horizontal="center" vertical="center"/>
    </xf>
    <xf numFmtId="170" fontId="27" fillId="6" borderId="58" xfId="0" applyNumberFormat="1" applyFont="1" applyFill="1" applyBorder="1" applyAlignment="1" applyProtection="1">
      <alignment horizontal="right" vertical="center"/>
    </xf>
    <xf numFmtId="0" fontId="15" fillId="0" borderId="0" xfId="5"/>
    <xf numFmtId="0" fontId="31" fillId="0" borderId="0" xfId="0" applyFont="1" applyProtection="1">
      <protection locked="0"/>
    </xf>
    <xf numFmtId="0" fontId="31" fillId="0" borderId="0" xfId="0" applyFont="1" applyProtection="1"/>
    <xf numFmtId="0" fontId="83" fillId="8" borderId="0" xfId="0" applyFont="1" applyFill="1" applyBorder="1" applyAlignment="1" applyProtection="1">
      <alignment vertical="center"/>
      <protection locked="0"/>
    </xf>
    <xf numFmtId="0" fontId="31" fillId="2" borderId="0" xfId="0" applyFont="1" applyFill="1" applyAlignment="1" applyProtection="1">
      <alignment vertical="center"/>
    </xf>
    <xf numFmtId="0" fontId="30" fillId="2" borderId="0" xfId="0" applyFont="1" applyFill="1" applyAlignment="1" applyProtection="1">
      <alignment vertical="center"/>
    </xf>
    <xf numFmtId="0" fontId="30" fillId="0" borderId="0" xfId="0" applyFont="1" applyAlignment="1" applyProtection="1">
      <alignment vertical="center"/>
    </xf>
    <xf numFmtId="0" fontId="65" fillId="0" borderId="0" xfId="0" applyFont="1" applyAlignment="1" applyProtection="1">
      <alignment horizontal="left" vertical="center" wrapText="1"/>
    </xf>
    <xf numFmtId="0" fontId="28" fillId="0" borderId="0" xfId="0" applyFont="1" applyAlignment="1" applyProtection="1"/>
    <xf numFmtId="0" fontId="26" fillId="6" borderId="0" xfId="0" applyFont="1" applyFill="1" applyAlignment="1" applyProtection="1">
      <alignment vertical="center"/>
    </xf>
    <xf numFmtId="0" fontId="58" fillId="6" borderId="0" xfId="0" applyFont="1" applyFill="1" applyBorder="1" applyProtection="1"/>
    <xf numFmtId="0" fontId="28" fillId="6" borderId="13" xfId="0" applyFont="1" applyFill="1" applyBorder="1" applyAlignment="1" applyProtection="1"/>
    <xf numFmtId="0" fontId="28" fillId="6" borderId="16" xfId="0" applyFont="1" applyFill="1" applyBorder="1" applyAlignment="1" applyProtection="1"/>
    <xf numFmtId="0" fontId="27" fillId="6" borderId="16" xfId="0" applyFont="1" applyFill="1" applyBorder="1" applyAlignment="1" applyProtection="1">
      <alignment vertical="center"/>
    </xf>
    <xf numFmtId="0" fontId="27" fillId="6" borderId="6" xfId="0" applyFont="1" applyFill="1" applyBorder="1" applyAlignment="1" applyProtection="1">
      <alignment vertical="center"/>
    </xf>
    <xf numFmtId="171" fontId="23" fillId="6" borderId="0" xfId="0" applyNumberFormat="1" applyFont="1" applyFill="1" applyBorder="1" applyAlignment="1" applyProtection="1">
      <alignment horizontal="left" vertical="center" indent="1"/>
    </xf>
    <xf numFmtId="0" fontId="58" fillId="6" borderId="60" xfId="0" applyFont="1" applyFill="1" applyBorder="1" applyProtection="1"/>
    <xf numFmtId="0" fontId="23" fillId="6" borderId="0" xfId="0" applyFont="1" applyFill="1" applyBorder="1" applyAlignment="1" applyProtection="1">
      <alignment horizontal="left" vertical="center" wrapText="1" indent="1"/>
    </xf>
    <xf numFmtId="0" fontId="52" fillId="6" borderId="20"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wrapText="1"/>
    </xf>
    <xf numFmtId="0" fontId="0" fillId="6" borderId="0" xfId="0" applyFill="1" applyAlignment="1" applyProtection="1"/>
    <xf numFmtId="0" fontId="26" fillId="0" borderId="0" xfId="0" applyFont="1" applyBorder="1" applyAlignment="1" applyProtection="1">
      <alignment vertical="center"/>
    </xf>
    <xf numFmtId="0" fontId="27" fillId="8" borderId="0" xfId="0" applyFont="1" applyFill="1" applyBorder="1" applyAlignment="1" applyProtection="1">
      <alignment vertical="center"/>
    </xf>
    <xf numFmtId="0" fontId="31" fillId="2" borderId="0" xfId="0" applyFont="1" applyFill="1" applyBorder="1" applyAlignment="1" applyProtection="1">
      <alignment vertical="center"/>
    </xf>
    <xf numFmtId="0" fontId="26" fillId="2" borderId="44" xfId="0" applyFont="1" applyFill="1" applyBorder="1" applyAlignment="1" applyProtection="1">
      <alignment vertical="center"/>
    </xf>
    <xf numFmtId="0" fontId="26" fillId="2" borderId="61" xfId="0" applyFont="1" applyFill="1" applyBorder="1" applyAlignment="1" applyProtection="1">
      <alignment vertical="center"/>
    </xf>
    <xf numFmtId="0" fontId="26" fillId="0" borderId="17" xfId="0" applyFont="1" applyBorder="1" applyAlignment="1" applyProtection="1">
      <alignment vertical="center"/>
    </xf>
    <xf numFmtId="169" fontId="26" fillId="0" borderId="0" xfId="1" applyNumberFormat="1" applyFont="1" applyAlignment="1" applyProtection="1">
      <alignment vertical="center"/>
    </xf>
    <xf numFmtId="0" fontId="25" fillId="0" borderId="0" xfId="0" applyFont="1" applyAlignment="1" applyProtection="1">
      <alignment horizontal="left" vertical="center"/>
    </xf>
    <xf numFmtId="0" fontId="25" fillId="0" borderId="0" xfId="0" applyFont="1" applyBorder="1" applyAlignment="1" applyProtection="1">
      <alignment horizontal="left" vertical="center"/>
    </xf>
    <xf numFmtId="0" fontId="25" fillId="0" borderId="0" xfId="0" applyFont="1" applyBorder="1" applyAlignment="1" applyProtection="1">
      <alignment vertical="center" wrapText="1"/>
    </xf>
    <xf numFmtId="0" fontId="26" fillId="0" borderId="0" xfId="0" applyFont="1" applyBorder="1" applyAlignment="1" applyProtection="1">
      <alignment wrapText="1"/>
    </xf>
    <xf numFmtId="0" fontId="26" fillId="0" borderId="1" xfId="0" applyFont="1" applyBorder="1" applyProtection="1"/>
    <xf numFmtId="0" fontId="26" fillId="0" borderId="0" xfId="0" applyFont="1" applyBorder="1" applyAlignment="1" applyProtection="1">
      <alignment horizontal="left" vertical="center"/>
    </xf>
    <xf numFmtId="0" fontId="26" fillId="0" borderId="0" xfId="0" applyFont="1" applyBorder="1" applyAlignment="1" applyProtection="1">
      <alignment horizontal="center"/>
    </xf>
    <xf numFmtId="0" fontId="26" fillId="0" borderId="0" xfId="0" applyFont="1" applyBorder="1" applyAlignment="1" applyProtection="1">
      <alignment horizontal="left"/>
    </xf>
    <xf numFmtId="0" fontId="26" fillId="0" borderId="0" xfId="0" applyFont="1" applyAlignment="1" applyProtection="1">
      <alignment horizontal="left" vertical="center"/>
    </xf>
    <xf numFmtId="0" fontId="26" fillId="0" borderId="0" xfId="0" applyFont="1" applyAlignment="1" applyProtection="1">
      <alignment horizontal="center"/>
    </xf>
    <xf numFmtId="0" fontId="34" fillId="15" borderId="0" xfId="8" applyFont="1" applyBorder="1" applyAlignment="1" applyProtection="1">
      <alignment wrapText="1"/>
    </xf>
    <xf numFmtId="0" fontId="26" fillId="6" borderId="0" xfId="0" applyFont="1" applyFill="1" applyBorder="1" applyAlignment="1" applyProtection="1">
      <alignment vertical="center"/>
    </xf>
    <xf numFmtId="0" fontId="25" fillId="0" borderId="0" xfId="0" applyFont="1" applyAlignment="1" applyProtection="1">
      <alignment horizontal="left" vertical="center" wrapText="1"/>
    </xf>
    <xf numFmtId="0" fontId="23" fillId="6" borderId="0" xfId="0" applyFont="1" applyFill="1" applyBorder="1" applyAlignment="1" applyProtection="1">
      <alignment vertical="center"/>
    </xf>
    <xf numFmtId="0" fontId="31" fillId="0" borderId="0" xfId="0" applyFont="1" applyAlignment="1" applyProtection="1">
      <alignment horizontal="left" vertical="center"/>
    </xf>
    <xf numFmtId="0" fontId="26" fillId="8" borderId="0" xfId="0" applyFont="1" applyFill="1" applyBorder="1" applyAlignment="1" applyProtection="1">
      <alignment vertical="center"/>
    </xf>
    <xf numFmtId="0" fontId="83" fillId="8" borderId="0" xfId="0" applyFont="1" applyFill="1" applyBorder="1" applyAlignment="1" applyProtection="1">
      <alignment vertical="center"/>
    </xf>
    <xf numFmtId="0" fontId="27" fillId="0" borderId="99" xfId="0" applyFont="1" applyBorder="1" applyAlignment="1" applyProtection="1">
      <alignment horizontal="center" vertical="center" wrapText="1"/>
      <protection locked="0"/>
    </xf>
    <xf numFmtId="0" fontId="33" fillId="0" borderId="0" xfId="0" applyFont="1" applyFill="1" applyBorder="1" applyAlignment="1" applyProtection="1">
      <alignment vertical="center"/>
    </xf>
    <xf numFmtId="0" fontId="26" fillId="2" borderId="33" xfId="0" applyFont="1" applyFill="1" applyBorder="1" applyAlignment="1" applyProtection="1">
      <alignment vertical="center"/>
    </xf>
    <xf numFmtId="0" fontId="31" fillId="2" borderId="33" xfId="0" applyFont="1" applyFill="1" applyBorder="1" applyAlignment="1" applyProtection="1">
      <alignment vertical="center"/>
    </xf>
    <xf numFmtId="0" fontId="26" fillId="2" borderId="7" xfId="0" applyFont="1" applyFill="1" applyBorder="1" applyAlignment="1" applyProtection="1">
      <alignment vertical="center"/>
    </xf>
    <xf numFmtId="0" fontId="26" fillId="2" borderId="10" xfId="0" applyFont="1" applyFill="1" applyBorder="1" applyAlignment="1" applyProtection="1">
      <alignment vertical="center"/>
    </xf>
    <xf numFmtId="0" fontId="31" fillId="2" borderId="10" xfId="0" applyFont="1" applyFill="1" applyBorder="1" applyAlignment="1" applyProtection="1">
      <alignment vertical="center"/>
    </xf>
    <xf numFmtId="0" fontId="26" fillId="2" borderId="67" xfId="0" applyFont="1" applyFill="1" applyBorder="1" applyAlignment="1" applyProtection="1">
      <alignment vertical="center"/>
    </xf>
    <xf numFmtId="0" fontId="26" fillId="2" borderId="40" xfId="0" applyFont="1" applyFill="1" applyBorder="1" applyAlignment="1" applyProtection="1">
      <alignment vertical="center"/>
    </xf>
    <xf numFmtId="0" fontId="26" fillId="2" borderId="11" xfId="0" applyFont="1" applyFill="1" applyBorder="1" applyAlignment="1" applyProtection="1">
      <alignment vertical="center"/>
    </xf>
    <xf numFmtId="0" fontId="26" fillId="18" borderId="33" xfId="0" applyFont="1" applyFill="1" applyBorder="1" applyAlignment="1" applyProtection="1">
      <alignment vertical="center"/>
    </xf>
    <xf numFmtId="0" fontId="26" fillId="18" borderId="0" xfId="0" applyFont="1" applyFill="1" applyBorder="1" applyAlignment="1" applyProtection="1">
      <alignment vertical="center"/>
    </xf>
    <xf numFmtId="0" fontId="28" fillId="4" borderId="100" xfId="0" applyFont="1" applyFill="1" applyBorder="1" applyAlignment="1" applyProtection="1">
      <alignment horizontal="center" vertical="center" wrapText="1"/>
    </xf>
    <xf numFmtId="0" fontId="26" fillId="0" borderId="44" xfId="0" applyFont="1" applyBorder="1" applyProtection="1"/>
    <xf numFmtId="0" fontId="26" fillId="0" borderId="7" xfId="0" applyFont="1" applyBorder="1" applyAlignment="1" applyProtection="1">
      <alignment wrapText="1"/>
    </xf>
    <xf numFmtId="0" fontId="26" fillId="0" borderId="10" xfId="0" applyFont="1" applyBorder="1" applyAlignment="1" applyProtection="1">
      <alignment wrapText="1"/>
    </xf>
    <xf numFmtId="0" fontId="26" fillId="0" borderId="10" xfId="0" applyFont="1" applyBorder="1" applyProtection="1"/>
    <xf numFmtId="0" fontId="26" fillId="0" borderId="10" xfId="0" applyFont="1" applyBorder="1" applyAlignment="1" applyProtection="1">
      <alignment horizontal="left" vertical="center"/>
    </xf>
    <xf numFmtId="0" fontId="26" fillId="0" borderId="10" xfId="0" applyFont="1" applyBorder="1" applyAlignment="1" applyProtection="1">
      <alignment horizontal="center"/>
    </xf>
    <xf numFmtId="0" fontId="26" fillId="0" borderId="67" xfId="0" applyFont="1" applyBorder="1" applyProtection="1"/>
    <xf numFmtId="0" fontId="31" fillId="0" borderId="0" xfId="0" applyFont="1" applyBorder="1" applyProtection="1"/>
    <xf numFmtId="0" fontId="26" fillId="6" borderId="10" xfId="0" applyFont="1" applyFill="1" applyBorder="1" applyAlignment="1" applyProtection="1">
      <alignment vertical="center"/>
    </xf>
    <xf numFmtId="0" fontId="67" fillId="3" borderId="58" xfId="0" applyFont="1" applyFill="1" applyBorder="1" applyAlignment="1" applyProtection="1">
      <alignment horizontal="center" vertical="center"/>
    </xf>
    <xf numFmtId="171" fontId="23" fillId="8" borderId="1" xfId="0" applyNumberFormat="1" applyFont="1" applyFill="1" applyBorder="1" applyAlignment="1" applyProtection="1">
      <alignment horizontal="left" vertical="center" indent="1"/>
    </xf>
    <xf numFmtId="0" fontId="27" fillId="8" borderId="99" xfId="0" applyFont="1" applyFill="1" applyBorder="1" applyAlignment="1" applyProtection="1">
      <alignment horizontal="center" vertical="center" wrapText="1"/>
    </xf>
    <xf numFmtId="49" fontId="27" fillId="8" borderId="99" xfId="0" applyNumberFormat="1" applyFont="1" applyFill="1" applyBorder="1" applyAlignment="1" applyProtection="1">
      <alignment horizontal="center" vertical="center" wrapText="1"/>
    </xf>
    <xf numFmtId="0" fontId="31" fillId="0" borderId="33" xfId="0" applyFont="1" applyBorder="1" applyProtection="1">
      <protection locked="0"/>
    </xf>
    <xf numFmtId="0" fontId="26" fillId="0" borderId="44" xfId="0" applyFont="1" applyBorder="1" applyProtection="1">
      <protection locked="0"/>
    </xf>
    <xf numFmtId="0" fontId="31" fillId="0" borderId="0" xfId="0" applyFont="1" applyBorder="1" applyProtection="1">
      <protection locked="0"/>
    </xf>
    <xf numFmtId="0" fontId="26" fillId="0" borderId="61" xfId="0" applyFont="1" applyBorder="1" applyProtection="1">
      <protection locked="0"/>
    </xf>
    <xf numFmtId="0" fontId="26" fillId="0" borderId="7" xfId="0" applyFont="1" applyBorder="1" applyAlignment="1" applyProtection="1">
      <alignment wrapText="1"/>
      <protection locked="0"/>
    </xf>
    <xf numFmtId="0" fontId="26" fillId="0" borderId="10" xfId="0" applyFont="1" applyBorder="1" applyProtection="1">
      <protection locked="0"/>
    </xf>
    <xf numFmtId="0" fontId="26" fillId="0" borderId="10" xfId="0" applyFont="1" applyBorder="1" applyAlignment="1" applyProtection="1">
      <alignment wrapText="1"/>
      <protection locked="0"/>
    </xf>
    <xf numFmtId="0" fontId="26" fillId="0" borderId="10" xfId="0" applyFont="1" applyBorder="1" applyAlignment="1" applyProtection="1">
      <alignment horizontal="center" vertical="center"/>
      <protection locked="0"/>
    </xf>
    <xf numFmtId="0" fontId="31" fillId="0" borderId="10" xfId="0" applyFont="1" applyBorder="1" applyProtection="1">
      <protection locked="0"/>
    </xf>
    <xf numFmtId="0" fontId="30" fillId="0" borderId="0" xfId="0" applyFont="1" applyBorder="1" applyAlignment="1" applyProtection="1">
      <alignment vertical="center"/>
    </xf>
    <xf numFmtId="0" fontId="30" fillId="0" borderId="33" xfId="0" applyFont="1" applyBorder="1" applyAlignment="1" applyProtection="1">
      <alignment vertical="center"/>
    </xf>
    <xf numFmtId="0" fontId="23" fillId="0" borderId="44" xfId="0" applyFont="1" applyBorder="1" applyAlignment="1" applyProtection="1">
      <alignment vertical="center"/>
    </xf>
    <xf numFmtId="0" fontId="23" fillId="0" borderId="61" xfId="0" applyFont="1" applyBorder="1" applyAlignment="1" applyProtection="1">
      <alignment vertical="center"/>
    </xf>
    <xf numFmtId="0" fontId="26" fillId="2" borderId="61" xfId="0" applyFont="1" applyFill="1" applyBorder="1" applyProtection="1"/>
    <xf numFmtId="0" fontId="26" fillId="6" borderId="10" xfId="0" applyFont="1" applyFill="1" applyBorder="1" applyProtection="1"/>
    <xf numFmtId="0" fontId="26" fillId="6" borderId="67" xfId="0" applyFont="1" applyFill="1" applyBorder="1" applyProtection="1"/>
    <xf numFmtId="0" fontId="27" fillId="2" borderId="67" xfId="0" applyFont="1" applyFill="1" applyBorder="1" applyProtection="1"/>
    <xf numFmtId="0" fontId="26" fillId="2" borderId="67" xfId="0" applyFont="1" applyFill="1" applyBorder="1" applyProtection="1"/>
    <xf numFmtId="0" fontId="27" fillId="18" borderId="0" xfId="0" applyFont="1" applyFill="1" applyBorder="1" applyProtection="1"/>
    <xf numFmtId="0" fontId="28" fillId="16" borderId="99" xfId="0" applyFont="1" applyFill="1" applyBorder="1" applyAlignment="1" applyProtection="1">
      <alignment horizontal="center" vertical="center"/>
    </xf>
    <xf numFmtId="0" fontId="30" fillId="2" borderId="0" xfId="0" applyFont="1" applyFill="1" applyBorder="1" applyAlignment="1" applyProtection="1">
      <alignment horizontal="left" vertical="center" wrapText="1"/>
    </xf>
    <xf numFmtId="0" fontId="62" fillId="0" borderId="0" xfId="0" applyFont="1" applyAlignment="1" applyProtection="1">
      <alignment horizontal="left" vertical="center" wrapText="1"/>
    </xf>
    <xf numFmtId="0" fontId="32" fillId="9" borderId="0" xfId="0" applyFont="1" applyFill="1" applyBorder="1" applyAlignment="1" applyProtection="1">
      <alignment horizontal="left" vertical="center"/>
    </xf>
    <xf numFmtId="0" fontId="23" fillId="0" borderId="82" xfId="0" applyFont="1" applyFill="1" applyBorder="1" applyAlignment="1" applyProtection="1">
      <alignment horizontal="left" vertical="center" wrapText="1"/>
      <protection locked="0"/>
    </xf>
    <xf numFmtId="0" fontId="23" fillId="0" borderId="87" xfId="0" applyFont="1" applyFill="1" applyBorder="1" applyAlignment="1" applyProtection="1">
      <alignment horizontal="left" vertical="center" wrapText="1"/>
      <protection locked="0"/>
    </xf>
    <xf numFmtId="0" fontId="23" fillId="0" borderId="52" xfId="0" applyFont="1" applyBorder="1" applyAlignment="1" applyProtection="1">
      <alignment horizontal="left" vertical="center" wrapText="1"/>
      <protection locked="0"/>
    </xf>
    <xf numFmtId="0" fontId="23" fillId="0" borderId="80" xfId="0"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xf>
    <xf numFmtId="0" fontId="28" fillId="0" borderId="0" xfId="0" applyFont="1" applyFill="1" applyBorder="1" applyAlignment="1" applyProtection="1">
      <alignment horizontal="left" vertical="top" wrapText="1"/>
    </xf>
    <xf numFmtId="0" fontId="22" fillId="0" borderId="82" xfId="0" applyFont="1" applyFill="1" applyBorder="1" applyAlignment="1" applyProtection="1">
      <alignment horizontal="left" vertical="center" wrapText="1"/>
      <protection locked="0"/>
    </xf>
    <xf numFmtId="0" fontId="22" fillId="0" borderId="16" xfId="0" applyFont="1" applyFill="1" applyBorder="1" applyAlignment="1" applyProtection="1">
      <alignment horizontal="left" vertical="center" wrapText="1"/>
      <protection locked="0"/>
    </xf>
    <xf numFmtId="0" fontId="22" fillId="0" borderId="87" xfId="0" applyFont="1" applyFill="1" applyBorder="1" applyAlignment="1" applyProtection="1">
      <alignment horizontal="left" vertical="center" wrapText="1"/>
      <protection locked="0"/>
    </xf>
    <xf numFmtId="0" fontId="23" fillId="2" borderId="50" xfId="0" applyFont="1" applyFill="1" applyBorder="1" applyAlignment="1" applyProtection="1">
      <alignment horizontal="left" vertical="center" wrapText="1"/>
      <protection locked="0"/>
    </xf>
    <xf numFmtId="0" fontId="23" fillId="6" borderId="0" xfId="0" applyFont="1" applyFill="1" applyBorder="1" applyAlignment="1" applyProtection="1">
      <alignment horizontal="left" vertical="center" wrapText="1"/>
      <protection locked="0"/>
    </xf>
    <xf numFmtId="0" fontId="23" fillId="2" borderId="52" xfId="0" applyFont="1" applyFill="1" applyBorder="1" applyAlignment="1" applyProtection="1">
      <alignment horizontal="left" vertical="center" wrapText="1"/>
      <protection locked="0"/>
    </xf>
    <xf numFmtId="0" fontId="23" fillId="2" borderId="0" xfId="0" applyFont="1" applyFill="1" applyBorder="1" applyAlignment="1" applyProtection="1">
      <alignment horizontal="left" vertical="center" wrapText="1"/>
      <protection locked="0"/>
    </xf>
    <xf numFmtId="0" fontId="22" fillId="0" borderId="35" xfId="0" applyFont="1" applyFill="1" applyBorder="1" applyAlignment="1" applyProtection="1">
      <alignment horizontal="left" vertical="center" wrapText="1"/>
      <protection locked="0"/>
    </xf>
    <xf numFmtId="0" fontId="23" fillId="0" borderId="0" xfId="0" applyFont="1" applyBorder="1" applyAlignment="1" applyProtection="1">
      <alignment horizontal="left" vertical="center" wrapText="1"/>
      <protection locked="0"/>
    </xf>
    <xf numFmtId="0" fontId="23" fillId="0" borderId="0" xfId="0" applyFont="1" applyFill="1" applyBorder="1" applyAlignment="1" applyProtection="1">
      <alignment horizontal="left" vertical="center" wrapText="1"/>
      <protection locked="0"/>
    </xf>
    <xf numFmtId="0" fontId="23" fillId="0" borderId="10" xfId="0" applyFont="1" applyFill="1" applyBorder="1" applyAlignment="1" applyProtection="1">
      <alignment horizontal="left" vertical="center" wrapText="1"/>
      <protection locked="0"/>
    </xf>
    <xf numFmtId="0" fontId="28" fillId="17" borderId="55" xfId="0" applyFont="1" applyFill="1" applyBorder="1" applyAlignment="1" applyProtection="1">
      <alignment horizontal="center" vertical="center" wrapText="1"/>
    </xf>
    <xf numFmtId="0" fontId="28" fillId="17" borderId="75" xfId="0" applyFont="1" applyFill="1" applyBorder="1" applyAlignment="1" applyProtection="1">
      <alignment horizontal="center" vertical="center" wrapText="1"/>
    </xf>
    <xf numFmtId="0" fontId="27" fillId="0" borderId="39" xfId="0" applyFont="1" applyFill="1" applyBorder="1" applyAlignment="1" applyProtection="1">
      <alignment horizontal="center" vertical="center" wrapText="1"/>
      <protection locked="0"/>
    </xf>
    <xf numFmtId="0" fontId="27" fillId="2" borderId="83" xfId="0" applyFont="1" applyFill="1" applyBorder="1" applyAlignment="1" applyProtection="1">
      <alignment horizontal="left" vertical="center" wrapText="1"/>
      <protection locked="0"/>
    </xf>
    <xf numFmtId="0" fontId="23" fillId="2" borderId="98" xfId="0" applyFont="1" applyFill="1" applyBorder="1" applyAlignment="1" applyProtection="1">
      <alignment horizontal="left" vertical="center" wrapText="1"/>
      <protection locked="0"/>
    </xf>
    <xf numFmtId="0" fontId="27" fillId="2" borderId="1" xfId="0" applyFont="1" applyFill="1" applyBorder="1" applyAlignment="1" applyProtection="1">
      <alignment vertical="center" wrapText="1"/>
      <protection locked="0"/>
    </xf>
    <xf numFmtId="0" fontId="27" fillId="0" borderId="4" xfId="0" applyFont="1" applyFill="1" applyBorder="1" applyAlignment="1" applyProtection="1">
      <alignment horizontal="center" wrapText="1"/>
      <protection locked="0"/>
    </xf>
    <xf numFmtId="0" fontId="28" fillId="20" borderId="33" xfId="0" applyFont="1" applyFill="1" applyBorder="1" applyAlignment="1" applyProtection="1">
      <alignment vertical="center" wrapText="1"/>
    </xf>
    <xf numFmtId="0" fontId="28" fillId="20" borderId="0" xfId="0" applyFont="1" applyFill="1" applyBorder="1" applyAlignment="1" applyProtection="1">
      <alignment vertical="center" wrapText="1"/>
    </xf>
    <xf numFmtId="0" fontId="26" fillId="2" borderId="0" xfId="0" applyFont="1" applyFill="1" applyBorder="1" applyAlignment="1" applyProtection="1">
      <alignment vertical="center" wrapText="1"/>
    </xf>
    <xf numFmtId="0" fontId="26" fillId="2" borderId="61" xfId="0" applyFont="1" applyFill="1" applyBorder="1" applyAlignment="1" applyProtection="1">
      <alignment vertical="center" wrapText="1"/>
    </xf>
    <xf numFmtId="0" fontId="31" fillId="0" borderId="0" xfId="0" applyFont="1" applyBorder="1" applyAlignment="1" applyProtection="1">
      <alignment wrapText="1"/>
    </xf>
    <xf numFmtId="0" fontId="31" fillId="0" borderId="0" xfId="0" applyFont="1" applyBorder="1" applyAlignment="1" applyProtection="1">
      <protection locked="0"/>
    </xf>
    <xf numFmtId="0" fontId="26" fillId="0" borderId="61" xfId="0" applyFont="1" applyBorder="1" applyAlignment="1" applyProtection="1">
      <protection locked="0"/>
    </xf>
    <xf numFmtId="0" fontId="42" fillId="16" borderId="33" xfId="0" applyFont="1" applyFill="1" applyBorder="1" applyAlignment="1" applyProtection="1">
      <alignment horizontal="center" vertical="center" wrapText="1"/>
    </xf>
    <xf numFmtId="0" fontId="28" fillId="4" borderId="99" xfId="0" applyFont="1" applyFill="1" applyBorder="1" applyAlignment="1" applyProtection="1">
      <alignment horizontal="center" vertical="center"/>
    </xf>
    <xf numFmtId="0" fontId="23" fillId="0" borderId="45" xfId="0" applyFont="1" applyFill="1" applyBorder="1" applyAlignment="1" applyProtection="1">
      <alignment horizontal="left" vertical="center" wrapText="1"/>
      <protection locked="0"/>
    </xf>
    <xf numFmtId="0" fontId="22" fillId="6" borderId="10"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23" fillId="0" borderId="35" xfId="0" applyFont="1" applyFill="1" applyBorder="1" applyAlignment="1" applyProtection="1">
      <alignment horizontal="left" vertical="center" wrapText="1"/>
      <protection locked="0"/>
    </xf>
    <xf numFmtId="0" fontId="27" fillId="0" borderId="109" xfId="0" applyFont="1" applyBorder="1" applyAlignment="1" applyProtection="1">
      <alignment horizontal="center" vertical="center" wrapText="1"/>
      <protection locked="0"/>
    </xf>
    <xf numFmtId="0" fontId="31" fillId="2" borderId="0" xfId="0" applyFont="1" applyFill="1" applyBorder="1" applyAlignment="1" applyProtection="1">
      <alignment vertical="center"/>
      <protection locked="0"/>
    </xf>
    <xf numFmtId="0" fontId="26" fillId="2" borderId="0" xfId="0" applyFont="1" applyFill="1" applyBorder="1" applyAlignment="1" applyProtection="1">
      <alignment vertical="center"/>
      <protection locked="0"/>
    </xf>
    <xf numFmtId="0" fontId="30" fillId="2" borderId="0" xfId="0" applyFont="1" applyFill="1" applyBorder="1" applyAlignment="1" applyProtection="1">
      <alignment vertical="center"/>
    </xf>
    <xf numFmtId="0" fontId="31" fillId="2" borderId="0" xfId="0" applyFont="1" applyFill="1" applyBorder="1" applyProtection="1"/>
    <xf numFmtId="0" fontId="83" fillId="2" borderId="0" xfId="0" applyFont="1" applyFill="1" applyBorder="1" applyProtection="1"/>
    <xf numFmtId="0" fontId="31" fillId="6" borderId="0" xfId="0" applyFont="1" applyFill="1" applyBorder="1" applyProtection="1"/>
    <xf numFmtId="0" fontId="31" fillId="2" borderId="0" xfId="0" applyFont="1" applyFill="1" applyBorder="1" applyAlignment="1" applyProtection="1"/>
    <xf numFmtId="0" fontId="27" fillId="0" borderId="113" xfId="0" applyFont="1" applyBorder="1" applyAlignment="1" applyProtection="1">
      <alignment horizontal="left" vertical="center" wrapText="1"/>
      <protection locked="0"/>
    </xf>
    <xf numFmtId="0" fontId="31" fillId="0" borderId="61" xfId="0" applyFont="1" applyBorder="1" applyProtection="1"/>
    <xf numFmtId="0" fontId="31" fillId="0" borderId="61" xfId="0" applyFont="1" applyBorder="1" applyAlignment="1" applyProtection="1">
      <alignment wrapText="1"/>
    </xf>
    <xf numFmtId="0" fontId="31" fillId="0" borderId="33" xfId="0" applyFont="1" applyBorder="1" applyProtection="1"/>
    <xf numFmtId="0" fontId="31" fillId="0" borderId="10" xfId="0" applyFont="1" applyBorder="1" applyProtection="1"/>
    <xf numFmtId="0" fontId="31" fillId="8" borderId="0" xfId="0" applyFont="1" applyFill="1" applyAlignment="1" applyProtection="1">
      <alignment vertical="center"/>
    </xf>
    <xf numFmtId="0" fontId="30" fillId="2" borderId="33" xfId="0" applyFont="1" applyFill="1" applyBorder="1" applyAlignment="1" applyProtection="1">
      <alignment vertical="center"/>
    </xf>
    <xf numFmtId="0" fontId="31" fillId="2" borderId="61" xfId="0" applyFont="1" applyFill="1" applyBorder="1" applyAlignment="1" applyProtection="1">
      <alignment vertical="center"/>
    </xf>
    <xf numFmtId="0" fontId="31" fillId="0" borderId="67" xfId="0" applyFont="1" applyBorder="1" applyProtection="1">
      <protection locked="0"/>
    </xf>
    <xf numFmtId="0" fontId="26" fillId="0" borderId="41" xfId="0" applyFont="1" applyBorder="1" applyProtection="1">
      <protection locked="0"/>
    </xf>
    <xf numFmtId="0" fontId="26" fillId="6" borderId="61" xfId="0" applyFont="1" applyFill="1" applyBorder="1" applyProtection="1"/>
    <xf numFmtId="0" fontId="31" fillId="2" borderId="10" xfId="0" applyFont="1" applyFill="1" applyBorder="1" applyProtection="1"/>
    <xf numFmtId="181" fontId="27" fillId="0" borderId="99" xfId="0" applyNumberFormat="1" applyFont="1" applyBorder="1" applyAlignment="1" applyProtection="1">
      <alignment horizontal="center" vertical="center" wrapText="1"/>
      <protection locked="0"/>
    </xf>
    <xf numFmtId="181" fontId="27" fillId="6" borderId="99" xfId="0" applyNumberFormat="1" applyFont="1" applyFill="1" applyBorder="1" applyAlignment="1" applyProtection="1">
      <alignment horizontal="center" vertical="center" wrapText="1"/>
      <protection locked="0"/>
    </xf>
    <xf numFmtId="0" fontId="31" fillId="2" borderId="0" xfId="0" applyFont="1" applyFill="1" applyProtection="1">
      <protection hidden="1"/>
    </xf>
    <xf numFmtId="0" fontId="31" fillId="2" borderId="0" xfId="0" applyFont="1" applyFill="1" applyProtection="1"/>
    <xf numFmtId="0" fontId="27" fillId="2" borderId="61" xfId="0" applyFont="1" applyFill="1" applyBorder="1" applyProtection="1"/>
    <xf numFmtId="0" fontId="28" fillId="4" borderId="114" xfId="0" applyFont="1" applyFill="1" applyBorder="1" applyAlignment="1" applyProtection="1">
      <alignment horizontal="center" vertical="center" wrapText="1"/>
    </xf>
    <xf numFmtId="0" fontId="28" fillId="21" borderId="114" xfId="0" applyFont="1" applyFill="1" applyBorder="1" applyAlignment="1" applyProtection="1">
      <alignment vertical="center" wrapText="1"/>
    </xf>
    <xf numFmtId="0" fontId="28" fillId="11" borderId="114" xfId="0" applyFont="1" applyFill="1" applyBorder="1" applyAlignment="1" applyProtection="1">
      <alignment horizontal="center" vertical="center" wrapText="1"/>
    </xf>
    <xf numFmtId="0" fontId="28" fillId="20" borderId="114" xfId="0" applyFont="1" applyFill="1" applyBorder="1" applyAlignment="1" applyProtection="1">
      <alignment vertical="center" wrapText="1"/>
    </xf>
    <xf numFmtId="0" fontId="28" fillId="17" borderId="114" xfId="0" applyFont="1" applyFill="1" applyBorder="1" applyAlignment="1" applyProtection="1">
      <alignment horizontal="center" vertical="center" wrapText="1"/>
    </xf>
    <xf numFmtId="0" fontId="26" fillId="2" borderId="114" xfId="0" applyFont="1" applyFill="1" applyBorder="1" applyAlignment="1" applyProtection="1">
      <alignment vertical="center"/>
    </xf>
    <xf numFmtId="0" fontId="31" fillId="2" borderId="114" xfId="0" applyFont="1" applyFill="1" applyBorder="1" applyAlignment="1" applyProtection="1">
      <alignment vertical="center"/>
    </xf>
    <xf numFmtId="0" fontId="27" fillId="0" borderId="114" xfId="0" applyFont="1" applyFill="1" applyBorder="1" applyAlignment="1" applyProtection="1">
      <alignment horizontal="center" vertical="center" wrapText="1"/>
      <protection locked="0"/>
    </xf>
    <xf numFmtId="0" fontId="27" fillId="0" borderId="114" xfId="0" applyFont="1" applyBorder="1" applyAlignment="1" applyProtection="1">
      <alignment horizontal="left" vertical="center" wrapText="1"/>
      <protection locked="0"/>
    </xf>
    <xf numFmtId="0" fontId="27" fillId="2" borderId="114" xfId="0" applyFont="1" applyFill="1" applyBorder="1" applyProtection="1"/>
    <xf numFmtId="0" fontId="83" fillId="2" borderId="114" xfId="0" applyFont="1" applyFill="1" applyBorder="1" applyProtection="1"/>
    <xf numFmtId="0" fontId="26" fillId="2" borderId="33" xfId="0" applyFont="1" applyFill="1" applyBorder="1" applyProtection="1"/>
    <xf numFmtId="0" fontId="31" fillId="2" borderId="33" xfId="0" applyFont="1" applyFill="1" applyBorder="1" applyProtection="1"/>
    <xf numFmtId="0" fontId="84" fillId="2" borderId="0" xfId="0" applyFont="1" applyFill="1" applyBorder="1" applyProtection="1"/>
    <xf numFmtId="0" fontId="39" fillId="2" borderId="0" xfId="0" applyFont="1" applyFill="1" applyBorder="1" applyProtection="1"/>
    <xf numFmtId="0" fontId="85" fillId="2" borderId="0" xfId="0" applyFont="1" applyFill="1" applyBorder="1" applyProtection="1"/>
    <xf numFmtId="0" fontId="86" fillId="2" borderId="0" xfId="0" applyFont="1" applyFill="1" applyBorder="1" applyAlignment="1" applyProtection="1">
      <alignment horizontal="left"/>
    </xf>
    <xf numFmtId="0" fontId="39" fillId="2" borderId="44" xfId="0" applyFont="1" applyFill="1" applyBorder="1" applyProtection="1"/>
    <xf numFmtId="0" fontId="39" fillId="2" borderId="67" xfId="0" applyFont="1" applyFill="1" applyBorder="1" applyProtection="1"/>
    <xf numFmtId="0" fontId="39" fillId="2" borderId="61" xfId="0" applyFont="1" applyFill="1" applyBorder="1" applyProtection="1"/>
    <xf numFmtId="0" fontId="39" fillId="2" borderId="33" xfId="0" applyFont="1" applyFill="1" applyBorder="1" applyProtection="1"/>
    <xf numFmtId="0" fontId="47" fillId="0" borderId="0" xfId="0" applyFont="1" applyFill="1" applyBorder="1" applyAlignment="1" applyProtection="1">
      <alignment vertical="center"/>
    </xf>
    <xf numFmtId="0" fontId="48" fillId="0" borderId="0" xfId="0" applyFont="1" applyFill="1" applyBorder="1" applyAlignment="1" applyProtection="1">
      <alignment vertical="center"/>
    </xf>
    <xf numFmtId="0" fontId="26" fillId="2" borderId="44" xfId="0" applyFont="1" applyFill="1" applyBorder="1" applyAlignment="1" applyProtection="1"/>
    <xf numFmtId="0" fontId="26" fillId="2" borderId="61" xfId="0" applyFont="1" applyFill="1" applyBorder="1" applyAlignment="1" applyProtection="1"/>
    <xf numFmtId="0" fontId="23" fillId="0" borderId="10" xfId="0" applyFont="1" applyFill="1" applyBorder="1" applyAlignment="1" applyProtection="1">
      <alignment horizontal="left" vertical="center" wrapText="1"/>
    </xf>
    <xf numFmtId="0" fontId="23"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23" fillId="2" borderId="67" xfId="0" applyFont="1" applyFill="1" applyBorder="1" applyAlignment="1" applyProtection="1">
      <alignment horizontal="left" vertical="center" wrapText="1"/>
    </xf>
    <xf numFmtId="0" fontId="28" fillId="16" borderId="0" xfId="0" applyFont="1" applyFill="1" applyBorder="1" applyAlignment="1" applyProtection="1">
      <alignment horizontal="center" vertical="center" wrapText="1"/>
    </xf>
    <xf numFmtId="0" fontId="27" fillId="0" borderId="115" xfId="0" applyFont="1" applyFill="1" applyBorder="1" applyAlignment="1" applyProtection="1">
      <alignment horizontal="center" vertical="center" wrapText="1"/>
      <protection locked="0"/>
    </xf>
    <xf numFmtId="0" fontId="28" fillId="11" borderId="0" xfId="0" applyFont="1" applyFill="1" applyBorder="1" applyAlignment="1" applyProtection="1">
      <alignment horizontal="center" vertical="center" wrapText="1"/>
    </xf>
    <xf numFmtId="0" fontId="23" fillId="2" borderId="10" xfId="0" applyFont="1" applyFill="1" applyBorder="1" applyAlignment="1" applyProtection="1">
      <alignment horizontal="left" vertical="center" wrapText="1"/>
      <protection locked="0"/>
    </xf>
    <xf numFmtId="0" fontId="28" fillId="16" borderId="115" xfId="0" applyFont="1" applyFill="1" applyBorder="1" applyAlignment="1" applyProtection="1">
      <alignment horizontal="center" vertical="center" wrapText="1"/>
    </xf>
    <xf numFmtId="0" fontId="28" fillId="17" borderId="83" xfId="0" applyFont="1" applyFill="1" applyBorder="1" applyAlignment="1" applyProtection="1">
      <alignment horizontal="center" vertical="center" wrapText="1"/>
    </xf>
    <xf numFmtId="0" fontId="28" fillId="17" borderId="39" xfId="0" applyFont="1" applyFill="1" applyBorder="1" applyAlignment="1" applyProtection="1">
      <alignment vertical="center" wrapText="1"/>
    </xf>
    <xf numFmtId="0" fontId="28" fillId="17" borderId="76" xfId="0" applyFont="1" applyFill="1" applyBorder="1" applyAlignment="1" applyProtection="1">
      <alignment horizontal="center" vertical="center"/>
    </xf>
    <xf numFmtId="0" fontId="26" fillId="6" borderId="0" xfId="0" applyFont="1" applyFill="1" applyBorder="1" applyAlignment="1"/>
    <xf numFmtId="0" fontId="28" fillId="16" borderId="36" xfId="0" applyFont="1" applyFill="1" applyBorder="1" applyAlignment="1" applyProtection="1">
      <alignment horizontal="center" vertical="center"/>
      <protection locked="0"/>
    </xf>
    <xf numFmtId="171" fontId="27" fillId="0" borderId="115" xfId="0" applyNumberFormat="1" applyFont="1" applyFill="1" applyBorder="1" applyAlignment="1" applyProtection="1">
      <alignment horizontal="center" vertical="center" wrapText="1"/>
      <protection locked="0"/>
    </xf>
    <xf numFmtId="0" fontId="22" fillId="6" borderId="0" xfId="0" applyFont="1" applyFill="1" applyBorder="1" applyAlignment="1" applyProtection="1">
      <alignment horizontal="left" vertical="center" wrapText="1"/>
      <protection locked="0"/>
    </xf>
    <xf numFmtId="0" fontId="31" fillId="0" borderId="0" xfId="5" applyFont="1" applyProtection="1"/>
    <xf numFmtId="0" fontId="31" fillId="8" borderId="0" xfId="5" applyFont="1" applyFill="1" applyAlignment="1" applyProtection="1">
      <alignment vertical="center"/>
    </xf>
    <xf numFmtId="0" fontId="83" fillId="0" borderId="0" xfId="5" applyFont="1" applyProtection="1">
      <protection locked="0"/>
    </xf>
    <xf numFmtId="0" fontId="83" fillId="0" borderId="0" xfId="5" applyFont="1" applyAlignment="1" applyProtection="1">
      <alignment vertical="center"/>
      <protection locked="0"/>
    </xf>
    <xf numFmtId="0" fontId="31" fillId="0" borderId="0" xfId="5" applyFont="1" applyProtection="1">
      <protection locked="0"/>
    </xf>
    <xf numFmtId="0" fontId="31" fillId="0" borderId="0" xfId="5" applyFont="1"/>
    <xf numFmtId="0" fontId="64" fillId="9" borderId="99" xfId="5" applyFont="1" applyFill="1" applyBorder="1" applyAlignment="1" applyProtection="1">
      <alignment vertical="center"/>
    </xf>
    <xf numFmtId="178" fontId="23" fillId="12" borderId="99" xfId="5" applyNumberFormat="1" applyFont="1" applyFill="1" applyBorder="1" applyAlignment="1" applyProtection="1">
      <alignment vertical="center"/>
    </xf>
    <xf numFmtId="178" fontId="23" fillId="13" borderId="99" xfId="5" applyNumberFormat="1" applyFont="1" applyFill="1" applyBorder="1" applyAlignment="1" applyProtection="1">
      <alignment vertical="center"/>
      <protection locked="0"/>
    </xf>
    <xf numFmtId="174" fontId="23" fillId="12" borderId="99" xfId="10" applyNumberFormat="1" applyFont="1" applyFill="1" applyBorder="1" applyAlignment="1" applyProtection="1">
      <alignment vertical="center"/>
    </xf>
    <xf numFmtId="178" fontId="22" fillId="12" borderId="99" xfId="5" applyNumberFormat="1" applyFont="1" applyFill="1" applyBorder="1" applyAlignment="1" applyProtection="1">
      <alignment vertical="center"/>
    </xf>
    <xf numFmtId="174" fontId="22" fillId="12" borderId="99" xfId="10" applyNumberFormat="1" applyFont="1" applyFill="1" applyBorder="1" applyAlignment="1" applyProtection="1">
      <alignment vertical="center"/>
    </xf>
    <xf numFmtId="0" fontId="27" fillId="13" borderId="99" xfId="5" applyFont="1" applyFill="1" applyBorder="1" applyAlignment="1" applyProtection="1">
      <alignment vertical="top"/>
      <protection locked="0"/>
    </xf>
    <xf numFmtId="178" fontId="27" fillId="13" borderId="99" xfId="5" applyNumberFormat="1" applyFont="1" applyFill="1" applyBorder="1" applyAlignment="1" applyProtection="1">
      <alignment vertical="center"/>
      <protection locked="0"/>
    </xf>
    <xf numFmtId="178" fontId="27" fillId="12" borderId="99" xfId="5" applyNumberFormat="1" applyFont="1" applyFill="1" applyBorder="1" applyAlignment="1" applyProtection="1">
      <alignment vertical="center"/>
    </xf>
    <xf numFmtId="174" fontId="27" fillId="12" borderId="99" xfId="10" applyNumberFormat="1" applyFont="1" applyFill="1" applyBorder="1" applyAlignment="1" applyProtection="1">
      <alignment vertical="center"/>
    </xf>
    <xf numFmtId="178" fontId="28" fillId="12" borderId="99" xfId="5" applyNumberFormat="1" applyFont="1" applyFill="1" applyBorder="1" applyAlignment="1" applyProtection="1">
      <alignment vertical="center"/>
    </xf>
    <xf numFmtId="174" fontId="28" fillId="12" borderId="99" xfId="10" applyNumberFormat="1" applyFont="1" applyFill="1" applyBorder="1" applyAlignment="1" applyProtection="1">
      <alignment vertical="center"/>
    </xf>
    <xf numFmtId="0" fontId="28" fillId="21" borderId="99" xfId="0" applyFont="1" applyFill="1" applyBorder="1" applyAlignment="1" applyProtection="1">
      <alignment vertical="center" wrapText="1"/>
    </xf>
    <xf numFmtId="0" fontId="27" fillId="13" borderId="99" xfId="5" applyFont="1" applyFill="1" applyBorder="1" applyAlignment="1" applyProtection="1">
      <alignment vertical="top" wrapText="1"/>
      <protection locked="0"/>
    </xf>
    <xf numFmtId="0" fontId="62" fillId="0" borderId="0" xfId="5" applyFont="1" applyBorder="1" applyAlignment="1" applyProtection="1">
      <alignment horizontal="left" vertical="center" wrapText="1"/>
    </xf>
    <xf numFmtId="0" fontId="26" fillId="0" borderId="40" xfId="5" applyFont="1" applyBorder="1" applyProtection="1"/>
    <xf numFmtId="0" fontId="26" fillId="0" borderId="33" xfId="5" applyFont="1" applyBorder="1" applyProtection="1"/>
    <xf numFmtId="0" fontId="26" fillId="0" borderId="11" xfId="5" applyFont="1" applyBorder="1" applyProtection="1"/>
    <xf numFmtId="0" fontId="26" fillId="0" borderId="0" xfId="5" applyFont="1" applyBorder="1" applyProtection="1"/>
    <xf numFmtId="0" fontId="28" fillId="3" borderId="11" xfId="6" applyFont="1" applyFill="1" applyBorder="1" applyAlignment="1" applyProtection="1">
      <alignment horizontal="left" vertical="center"/>
    </xf>
    <xf numFmtId="0" fontId="64" fillId="9" borderId="102" xfId="5" applyFont="1" applyFill="1" applyBorder="1" applyAlignment="1" applyProtection="1">
      <alignment vertical="center"/>
    </xf>
    <xf numFmtId="0" fontId="26" fillId="0" borderId="33" xfId="5" applyFont="1" applyBorder="1"/>
    <xf numFmtId="0" fontId="31" fillId="0" borderId="0" xfId="5" applyFont="1" applyBorder="1"/>
    <xf numFmtId="0" fontId="26" fillId="0" borderId="7" xfId="5" applyFont="1" applyBorder="1" applyProtection="1"/>
    <xf numFmtId="0" fontId="26" fillId="0" borderId="10" xfId="5" applyFont="1" applyBorder="1"/>
    <xf numFmtId="0" fontId="26" fillId="0" borderId="10" xfId="5" applyFont="1" applyBorder="1" applyProtection="1"/>
    <xf numFmtId="0" fontId="26" fillId="8" borderId="102" xfId="5" applyFont="1" applyFill="1" applyBorder="1" applyAlignment="1" applyProtection="1">
      <alignment vertical="center"/>
      <protection locked="0"/>
    </xf>
    <xf numFmtId="0" fontId="31" fillId="8" borderId="0" xfId="5" applyFont="1" applyFill="1" applyBorder="1" applyAlignment="1" applyProtection="1">
      <alignment vertical="center"/>
    </xf>
    <xf numFmtId="0" fontId="26" fillId="8" borderId="0" xfId="5" applyFont="1" applyFill="1" applyBorder="1" applyAlignment="1" applyProtection="1">
      <alignment vertical="center"/>
    </xf>
    <xf numFmtId="0" fontId="27" fillId="0" borderId="40" xfId="5" applyFont="1" applyBorder="1" applyProtection="1"/>
    <xf numFmtId="0" fontId="27" fillId="0" borderId="33" xfId="5" applyFont="1" applyFill="1" applyBorder="1" applyProtection="1"/>
    <xf numFmtId="0" fontId="27" fillId="0" borderId="33" xfId="5" applyFont="1" applyBorder="1" applyProtection="1">
      <protection locked="0"/>
    </xf>
    <xf numFmtId="0" fontId="27" fillId="0" borderId="0" xfId="5" applyFont="1" applyBorder="1" applyProtection="1">
      <protection locked="0"/>
    </xf>
    <xf numFmtId="0" fontId="27" fillId="0" borderId="10" xfId="5" applyFont="1" applyBorder="1" applyProtection="1">
      <protection locked="0"/>
    </xf>
    <xf numFmtId="0" fontId="27" fillId="0" borderId="33" xfId="5" applyFont="1" applyBorder="1" applyProtection="1"/>
    <xf numFmtId="0" fontId="27" fillId="9" borderId="102" xfId="5" applyFont="1" applyFill="1" applyBorder="1" applyAlignment="1" applyProtection="1">
      <alignment vertical="top" wrapText="1"/>
    </xf>
    <xf numFmtId="0" fontId="27" fillId="9" borderId="102" xfId="5" applyFont="1" applyFill="1" applyBorder="1" applyAlignment="1" applyProtection="1">
      <alignment vertical="top"/>
      <protection locked="0"/>
    </xf>
    <xf numFmtId="0" fontId="27" fillId="0" borderId="7" xfId="5" applyFont="1" applyBorder="1" applyProtection="1"/>
    <xf numFmtId="0" fontId="27" fillId="0" borderId="10" xfId="5" applyFont="1" applyBorder="1" applyProtection="1"/>
    <xf numFmtId="0" fontId="27" fillId="0" borderId="0" xfId="5" applyFont="1" applyBorder="1" applyAlignment="1" applyProtection="1">
      <alignment vertical="center"/>
      <protection locked="0"/>
    </xf>
    <xf numFmtId="0" fontId="87" fillId="0" borderId="0" xfId="0" applyFont="1" applyProtection="1"/>
    <xf numFmtId="179" fontId="88" fillId="0" borderId="0" xfId="0" applyNumberFormat="1" applyFont="1" applyFill="1" applyBorder="1" applyAlignment="1" applyProtection="1">
      <alignment vertical="center"/>
    </xf>
    <xf numFmtId="0" fontId="42" fillId="16" borderId="33" xfId="0" applyFont="1" applyFill="1" applyBorder="1" applyAlignment="1" applyProtection="1">
      <alignment horizontal="center" vertical="center" wrapText="1"/>
    </xf>
    <xf numFmtId="0" fontId="42" fillId="17" borderId="40" xfId="0" applyFont="1" applyFill="1" applyBorder="1" applyAlignment="1" applyProtection="1">
      <alignment horizontal="center" vertical="center" wrapText="1"/>
    </xf>
    <xf numFmtId="0" fontId="42" fillId="17" borderId="44" xfId="0" applyFont="1" applyFill="1" applyBorder="1" applyAlignment="1" applyProtection="1">
      <alignment horizontal="center" vertical="center" wrapText="1"/>
    </xf>
    <xf numFmtId="0" fontId="42" fillId="17" borderId="0" xfId="0" applyFont="1" applyFill="1" applyBorder="1" applyAlignment="1" applyProtection="1">
      <alignment horizontal="center" vertical="center" wrapText="1"/>
    </xf>
    <xf numFmtId="169" fontId="26" fillId="2" borderId="33" xfId="1" applyNumberFormat="1" applyFont="1" applyFill="1" applyBorder="1" applyAlignment="1" applyProtection="1">
      <alignment horizontal="center"/>
    </xf>
    <xf numFmtId="0" fontId="26" fillId="0" borderId="117" xfId="5" applyFont="1" applyBorder="1"/>
    <xf numFmtId="0" fontId="26" fillId="0" borderId="118" xfId="5" applyFont="1" applyBorder="1"/>
    <xf numFmtId="0" fontId="42" fillId="16" borderId="0" xfId="0" applyFont="1" applyFill="1" applyBorder="1" applyAlignment="1" applyProtection="1">
      <alignment horizontal="center" vertical="center" wrapText="1"/>
    </xf>
    <xf numFmtId="0" fontId="28" fillId="0" borderId="33" xfId="0" applyFont="1" applyFill="1" applyBorder="1" applyAlignment="1" applyProtection="1">
      <alignment horizontal="left" vertical="top" wrapText="1"/>
    </xf>
    <xf numFmtId="0" fontId="40" fillId="2" borderId="33" xfId="0" applyFont="1" applyFill="1" applyBorder="1" applyAlignment="1" applyProtection="1">
      <alignment horizontal="left"/>
    </xf>
    <xf numFmtId="0" fontId="47" fillId="0" borderId="33" xfId="0" applyFont="1" applyFill="1" applyBorder="1" applyAlignment="1" applyProtection="1">
      <alignment vertical="center"/>
    </xf>
    <xf numFmtId="0" fontId="48" fillId="0" borderId="33" xfId="0" applyFont="1" applyFill="1" applyBorder="1" applyAlignment="1" applyProtection="1">
      <alignment vertical="center"/>
    </xf>
    <xf numFmtId="0" fontId="28" fillId="17" borderId="114" xfId="5" applyFont="1" applyFill="1" applyBorder="1" applyAlignment="1" applyProtection="1">
      <alignment horizontal="center" vertical="center" wrapText="1"/>
    </xf>
    <xf numFmtId="0" fontId="31" fillId="2" borderId="114" xfId="0" applyFont="1" applyFill="1" applyBorder="1" applyProtection="1"/>
    <xf numFmtId="0" fontId="28" fillId="21" borderId="109" xfId="0" applyFont="1" applyFill="1" applyBorder="1" applyAlignment="1" applyProtection="1">
      <alignment vertical="center" wrapText="1"/>
    </xf>
    <xf numFmtId="0" fontId="31" fillId="2" borderId="114" xfId="0" applyFont="1" applyFill="1" applyBorder="1" applyProtection="1">
      <protection locked="0"/>
    </xf>
    <xf numFmtId="0" fontId="90" fillId="0" borderId="114" xfId="0" applyFont="1" applyFill="1" applyBorder="1" applyAlignment="1" applyProtection="1">
      <alignment horizontal="left" vertical="center"/>
      <protection locked="0"/>
    </xf>
    <xf numFmtId="0" fontId="58" fillId="2" borderId="61" xfId="0" applyFont="1" applyFill="1" applyBorder="1" applyProtection="1">
      <protection locked="0"/>
    </xf>
    <xf numFmtId="0" fontId="26" fillId="2" borderId="11" xfId="0" applyFont="1" applyFill="1" applyBorder="1" applyProtection="1">
      <protection locked="0"/>
    </xf>
    <xf numFmtId="0" fontId="26" fillId="2" borderId="0" xfId="0" applyFont="1" applyFill="1" applyBorder="1" applyProtection="1">
      <protection locked="0"/>
    </xf>
    <xf numFmtId="169" fontId="26" fillId="2" borderId="0" xfId="1" applyNumberFormat="1" applyFont="1" applyFill="1" applyBorder="1" applyAlignment="1" applyProtection="1">
      <alignment horizontal="center"/>
      <protection locked="0"/>
    </xf>
    <xf numFmtId="0" fontId="39" fillId="2" borderId="0" xfId="0" applyFont="1" applyFill="1" applyBorder="1" applyProtection="1">
      <protection locked="0"/>
    </xf>
    <xf numFmtId="0" fontId="31" fillId="2" borderId="0" xfId="0" applyFont="1" applyFill="1" applyBorder="1" applyProtection="1">
      <protection locked="0"/>
    </xf>
    <xf numFmtId="0" fontId="56" fillId="2" borderId="11" xfId="0" applyFont="1" applyFill="1" applyBorder="1" applyProtection="1">
      <protection locked="0"/>
    </xf>
    <xf numFmtId="0" fontId="26" fillId="2" borderId="0" xfId="0" applyFont="1" applyFill="1" applyBorder="1" applyAlignment="1" applyProtection="1">
      <alignment horizontal="center"/>
      <protection locked="0"/>
    </xf>
    <xf numFmtId="0" fontId="26" fillId="2" borderId="7" xfId="0" applyFont="1" applyFill="1" applyBorder="1" applyProtection="1">
      <protection locked="0"/>
    </xf>
    <xf numFmtId="0" fontId="26" fillId="2" borderId="10" xfId="0" applyFont="1" applyFill="1" applyBorder="1" applyProtection="1">
      <protection locked="0"/>
    </xf>
    <xf numFmtId="0" fontId="26" fillId="2" borderId="10" xfId="0" applyFont="1" applyFill="1" applyBorder="1" applyAlignment="1" applyProtection="1">
      <alignment horizontal="center"/>
      <protection locked="0"/>
    </xf>
    <xf numFmtId="0" fontId="39" fillId="2" borderId="10" xfId="0" applyFont="1" applyFill="1" applyBorder="1" applyProtection="1">
      <protection locked="0"/>
    </xf>
    <xf numFmtId="0" fontId="31" fillId="2" borderId="10" xfId="0" applyFont="1" applyFill="1" applyBorder="1" applyProtection="1">
      <protection locked="0"/>
    </xf>
    <xf numFmtId="0" fontId="58" fillId="2" borderId="0" xfId="0" applyFont="1" applyFill="1" applyProtection="1"/>
    <xf numFmtId="0" fontId="23" fillId="2" borderId="0" xfId="0" applyFont="1" applyFill="1" applyBorder="1" applyAlignment="1" applyProtection="1">
      <alignment horizontal="left" vertical="center" wrapText="1"/>
      <protection locked="0"/>
    </xf>
    <xf numFmtId="0" fontId="73" fillId="8" borderId="102" xfId="8" applyFont="1" applyFill="1" applyBorder="1" applyAlignment="1" applyProtection="1">
      <alignment horizontal="center" vertical="center" wrapText="1"/>
    </xf>
    <xf numFmtId="0" fontId="27" fillId="6" borderId="99" xfId="0" applyFont="1" applyFill="1" applyBorder="1" applyAlignment="1" applyProtection="1">
      <alignment horizontal="center" vertical="center" wrapText="1"/>
      <protection locked="0"/>
    </xf>
    <xf numFmtId="0" fontId="28" fillId="4" borderId="109" xfId="0" applyFont="1" applyFill="1" applyBorder="1" applyAlignment="1" applyProtection="1">
      <alignment horizontal="center" vertical="center"/>
    </xf>
    <xf numFmtId="0" fontId="28" fillId="16" borderId="100" xfId="0" applyFont="1" applyFill="1" applyBorder="1" applyAlignment="1" applyProtection="1">
      <alignment horizontal="center" vertical="center" wrapText="1"/>
    </xf>
    <xf numFmtId="0" fontId="28" fillId="16" borderId="100" xfId="0" applyFont="1" applyFill="1" applyBorder="1" applyAlignment="1" applyProtection="1">
      <alignment horizontal="center" vertical="center"/>
    </xf>
    <xf numFmtId="0" fontId="23" fillId="2" borderId="0" xfId="0" applyFont="1" applyFill="1" applyBorder="1" applyAlignment="1" applyProtection="1">
      <alignment horizontal="left" vertical="center" wrapText="1"/>
      <protection locked="0"/>
    </xf>
    <xf numFmtId="0" fontId="27" fillId="8" borderId="99" xfId="0" applyNumberFormat="1"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left" vertical="center" wrapText="1"/>
      <protection locked="0"/>
    </xf>
    <xf numFmtId="0" fontId="83" fillId="2" borderId="0" xfId="0" applyFont="1" applyFill="1" applyBorder="1" applyProtection="1">
      <protection hidden="1"/>
    </xf>
    <xf numFmtId="0" fontId="31" fillId="2" borderId="0" xfId="0" applyFont="1" applyFill="1" applyBorder="1" applyProtection="1">
      <protection hidden="1"/>
    </xf>
    <xf numFmtId="0" fontId="91" fillId="0" borderId="0" xfId="0" applyFont="1" applyProtection="1">
      <protection hidden="1"/>
    </xf>
    <xf numFmtId="171" fontId="27" fillId="0" borderId="114" xfId="0" applyNumberFormat="1" applyFont="1" applyFill="1" applyBorder="1" applyAlignment="1" applyProtection="1">
      <alignment horizontal="center" vertical="center" wrapText="1"/>
      <protection locked="0"/>
    </xf>
    <xf numFmtId="0" fontId="27" fillId="0" borderId="119" xfId="0" applyFont="1" applyFill="1" applyBorder="1" applyAlignment="1" applyProtection="1">
      <alignment horizontal="center" vertical="center" wrapText="1"/>
      <protection locked="0"/>
    </xf>
    <xf numFmtId="15" fontId="27"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wrapText="1"/>
      <protection locked="0"/>
    </xf>
    <xf numFmtId="0" fontId="28" fillId="11" borderId="0" xfId="0" applyFont="1" applyFill="1" applyBorder="1" applyAlignment="1" applyProtection="1">
      <alignment horizontal="left" vertical="center" wrapText="1"/>
    </xf>
    <xf numFmtId="171" fontId="27" fillId="0" borderId="114" xfId="0" applyNumberFormat="1" applyFont="1" applyFill="1" applyBorder="1" applyAlignment="1" applyProtection="1">
      <alignment horizontal="left" vertical="center" wrapText="1"/>
      <protection locked="0"/>
    </xf>
    <xf numFmtId="0" fontId="27" fillId="0" borderId="0" xfId="0" applyFont="1" applyFill="1" applyBorder="1" applyAlignment="1" applyProtection="1">
      <alignment horizontal="center" wrapText="1"/>
      <protection locked="0"/>
    </xf>
    <xf numFmtId="0" fontId="28" fillId="11" borderId="99" xfId="5" applyFont="1" applyFill="1" applyBorder="1" applyAlignment="1" applyProtection="1">
      <alignment horizontal="center" vertical="center" wrapText="1"/>
    </xf>
    <xf numFmtId="0" fontId="31" fillId="6" borderId="0" xfId="0" applyFont="1" applyFill="1" applyBorder="1" applyProtection="1">
      <protection hidden="1"/>
    </xf>
    <xf numFmtId="0" fontId="31" fillId="2" borderId="0" xfId="0" applyFont="1" applyFill="1" applyBorder="1" applyAlignment="1" applyProtection="1">
      <protection hidden="1"/>
    </xf>
    <xf numFmtId="0" fontId="58" fillId="2" borderId="0" xfId="0" applyFont="1" applyFill="1" applyBorder="1" applyProtection="1"/>
    <xf numFmtId="0" fontId="90" fillId="2" borderId="0" xfId="0" applyFont="1" applyFill="1" applyBorder="1" applyProtection="1"/>
    <xf numFmtId="0" fontId="37" fillId="2" borderId="0" xfId="0" applyFont="1" applyFill="1" applyBorder="1" applyAlignment="1" applyProtection="1">
      <alignment horizontal="left" vertical="center" wrapText="1"/>
    </xf>
    <xf numFmtId="0" fontId="65" fillId="0" borderId="0" xfId="0" applyFont="1" applyAlignment="1" applyProtection="1">
      <alignment horizontal="left" vertical="center" wrapText="1"/>
    </xf>
    <xf numFmtId="0" fontId="62" fillId="0" borderId="0" xfId="0" applyFont="1" applyAlignment="1" applyProtection="1">
      <alignment horizontal="left" vertical="center"/>
    </xf>
    <xf numFmtId="0" fontId="28" fillId="16" borderId="33" xfId="0" applyFont="1" applyFill="1" applyBorder="1" applyAlignment="1" applyProtection="1">
      <alignment horizontal="center" vertical="center" wrapText="1"/>
    </xf>
    <xf numFmtId="0" fontId="32" fillId="6" borderId="0" xfId="0" applyFont="1" applyFill="1" applyBorder="1" applyAlignment="1" applyProtection="1">
      <alignment horizontal="left" vertical="center" wrapText="1"/>
    </xf>
    <xf numFmtId="0" fontId="28" fillId="16" borderId="55" xfId="0" applyFont="1" applyFill="1" applyBorder="1" applyAlignment="1" applyProtection="1">
      <alignment horizontal="center" vertical="center" wrapText="1"/>
    </xf>
    <xf numFmtId="0" fontId="28" fillId="16" borderId="58" xfId="0" applyFont="1" applyFill="1" applyBorder="1" applyAlignment="1" applyProtection="1">
      <alignment horizontal="center" vertical="center" wrapText="1"/>
    </xf>
    <xf numFmtId="164" fontId="28" fillId="18" borderId="89" xfId="56" applyNumberFormat="1" applyFont="1" applyFill="1" applyBorder="1" applyAlignment="1" applyProtection="1">
      <alignment vertical="center"/>
    </xf>
    <xf numFmtId="164" fontId="28" fillId="13" borderId="60" xfId="56" applyNumberFormat="1" applyFont="1" applyFill="1" applyBorder="1" applyAlignment="1" applyProtection="1">
      <alignment vertical="center"/>
      <protection locked="0"/>
    </xf>
    <xf numFmtId="164" fontId="27" fillId="14" borderId="98" xfId="1" applyNumberFormat="1" applyFont="1" applyFill="1" applyBorder="1" applyAlignment="1" applyProtection="1">
      <alignment vertical="center"/>
      <protection locked="0"/>
    </xf>
    <xf numFmtId="164" fontId="27" fillId="13" borderId="21" xfId="1" applyNumberFormat="1" applyFont="1" applyFill="1" applyBorder="1" applyAlignment="1" applyProtection="1">
      <alignment vertical="center"/>
      <protection locked="0"/>
    </xf>
    <xf numFmtId="164" fontId="28" fillId="12" borderId="21" xfId="0" applyNumberFormat="1" applyFont="1" applyFill="1" applyBorder="1" applyAlignment="1" applyProtection="1">
      <alignment vertical="center"/>
    </xf>
    <xf numFmtId="164" fontId="27" fillId="13" borderId="50" xfId="1" applyNumberFormat="1" applyFont="1" applyFill="1" applyBorder="1" applyAlignment="1" applyProtection="1">
      <alignment vertical="center"/>
      <protection locked="0"/>
    </xf>
    <xf numFmtId="164" fontId="28" fillId="12" borderId="68" xfId="0" applyNumberFormat="1" applyFont="1" applyFill="1" applyBorder="1" applyAlignment="1" applyProtection="1">
      <alignment vertical="center"/>
    </xf>
    <xf numFmtId="164" fontId="27" fillId="13" borderId="50" xfId="56" applyNumberFormat="1" applyFont="1" applyFill="1" applyBorder="1" applyAlignment="1" applyProtection="1">
      <alignment vertical="center"/>
      <protection locked="0"/>
    </xf>
    <xf numFmtId="164" fontId="27" fillId="13" borderId="1" xfId="56" applyNumberFormat="1" applyFont="1" applyFill="1" applyBorder="1" applyAlignment="1" applyProtection="1">
      <alignment vertical="center"/>
      <protection locked="0"/>
    </xf>
    <xf numFmtId="164" fontId="27" fillId="13" borderId="1" xfId="1" applyNumberFormat="1" applyFont="1" applyFill="1" applyBorder="1" applyAlignment="1" applyProtection="1">
      <alignment vertical="center"/>
      <protection locked="0"/>
    </xf>
    <xf numFmtId="164" fontId="27" fillId="12" borderId="1" xfId="0" applyNumberFormat="1" applyFont="1" applyFill="1" applyBorder="1" applyAlignment="1" applyProtection="1">
      <alignment vertical="center"/>
    </xf>
    <xf numFmtId="164" fontId="27" fillId="13" borderId="6" xfId="1" applyNumberFormat="1" applyFont="1" applyFill="1" applyBorder="1" applyAlignment="1" applyProtection="1">
      <alignment vertical="center"/>
      <protection locked="0"/>
    </xf>
    <xf numFmtId="164" fontId="27" fillId="13" borderId="6" xfId="56" applyNumberFormat="1" applyFont="1" applyFill="1" applyBorder="1" applyAlignment="1" applyProtection="1">
      <alignment vertical="center"/>
      <protection locked="0"/>
    </xf>
    <xf numFmtId="164" fontId="28" fillId="12" borderId="51" xfId="56" applyNumberFormat="1" applyFont="1" applyFill="1" applyBorder="1" applyAlignment="1" applyProtection="1">
      <alignment vertical="center"/>
    </xf>
    <xf numFmtId="164" fontId="28" fillId="12" borderId="42" xfId="56" applyNumberFormat="1" applyFont="1" applyFill="1" applyBorder="1" applyAlignment="1" applyProtection="1">
      <alignment vertical="center"/>
    </xf>
    <xf numFmtId="164" fontId="28" fillId="12" borderId="98" xfId="0" applyNumberFormat="1" applyFont="1" applyFill="1" applyBorder="1" applyAlignment="1" applyProtection="1">
      <alignment vertical="center"/>
    </xf>
    <xf numFmtId="164" fontId="28" fillId="12" borderId="42" xfId="0" applyNumberFormat="1" applyFont="1" applyFill="1" applyBorder="1" applyAlignment="1" applyProtection="1">
      <alignment vertical="center"/>
    </xf>
    <xf numFmtId="164" fontId="28" fillId="12" borderId="19" xfId="0" applyNumberFormat="1" applyFont="1" applyFill="1" applyBorder="1" applyAlignment="1" applyProtection="1">
      <alignment vertical="center"/>
    </xf>
    <xf numFmtId="164" fontId="27" fillId="12" borderId="50" xfId="56" applyNumberFormat="1" applyFont="1" applyFill="1" applyBorder="1" applyAlignment="1" applyProtection="1">
      <alignment vertical="center"/>
    </xf>
    <xf numFmtId="164" fontId="27" fillId="12" borderId="6" xfId="0" applyNumberFormat="1" applyFont="1" applyFill="1" applyBorder="1" applyAlignment="1" applyProtection="1">
      <alignment vertical="center"/>
    </xf>
    <xf numFmtId="164" fontId="27" fillId="13" borderId="6" xfId="0" applyNumberFormat="1" applyFont="1" applyFill="1" applyBorder="1" applyAlignment="1" applyProtection="1">
      <alignment vertical="center"/>
      <protection locked="0"/>
    </xf>
    <xf numFmtId="164" fontId="27" fillId="12" borderId="98" xfId="0" applyNumberFormat="1" applyFont="1" applyFill="1" applyBorder="1" applyAlignment="1" applyProtection="1">
      <alignment vertical="center"/>
    </xf>
    <xf numFmtId="164" fontId="28" fillId="12" borderId="60" xfId="56" applyNumberFormat="1" applyFont="1" applyFill="1" applyBorder="1" applyAlignment="1" applyProtection="1">
      <alignment vertical="center"/>
    </xf>
    <xf numFmtId="164" fontId="27" fillId="12" borderId="19" xfId="0" applyNumberFormat="1" applyFont="1" applyFill="1" applyBorder="1" applyAlignment="1" applyProtection="1">
      <alignment vertical="center"/>
    </xf>
    <xf numFmtId="164" fontId="27" fillId="13" borderId="50" xfId="0" applyNumberFormat="1" applyFont="1" applyFill="1" applyBorder="1" applyAlignment="1" applyProtection="1">
      <alignment vertical="center"/>
      <protection locked="0"/>
    </xf>
    <xf numFmtId="164" fontId="27" fillId="13" borderId="13" xfId="0" applyNumberFormat="1" applyFont="1" applyFill="1" applyBorder="1" applyAlignment="1" applyProtection="1">
      <alignment vertical="center"/>
      <protection locked="0"/>
    </xf>
    <xf numFmtId="164" fontId="27" fillId="13" borderId="1" xfId="0" applyNumberFormat="1" applyFont="1" applyFill="1" applyBorder="1" applyAlignment="1" applyProtection="1">
      <alignment vertical="center"/>
      <protection locked="0"/>
    </xf>
    <xf numFmtId="164" fontId="27" fillId="13" borderId="21" xfId="0" applyNumberFormat="1" applyFont="1" applyFill="1" applyBorder="1" applyAlignment="1" applyProtection="1">
      <alignment vertical="center"/>
      <protection locked="0"/>
    </xf>
    <xf numFmtId="164" fontId="27" fillId="12" borderId="21" xfId="0" applyNumberFormat="1" applyFont="1" applyFill="1" applyBorder="1" applyAlignment="1" applyProtection="1">
      <alignment vertical="center"/>
    </xf>
    <xf numFmtId="164" fontId="27" fillId="13" borderId="19" xfId="0" applyNumberFormat="1" applyFont="1" applyFill="1" applyBorder="1" applyAlignment="1" applyProtection="1">
      <alignment vertical="center"/>
      <protection locked="0"/>
    </xf>
    <xf numFmtId="164" fontId="28" fillId="12" borderId="39" xfId="56" applyNumberFormat="1" applyFont="1" applyFill="1" applyBorder="1" applyAlignment="1" applyProtection="1">
      <alignment vertical="center"/>
    </xf>
    <xf numFmtId="164" fontId="28" fillId="14" borderId="50" xfId="56" applyNumberFormat="1" applyFont="1" applyFill="1" applyBorder="1" applyAlignment="1" applyProtection="1">
      <alignment vertical="center"/>
    </xf>
    <xf numFmtId="164" fontId="75" fillId="14" borderId="50" xfId="0" applyNumberFormat="1" applyFont="1" applyFill="1" applyBorder="1" applyAlignment="1" applyProtection="1">
      <alignment vertical="center"/>
      <protection locked="0"/>
    </xf>
    <xf numFmtId="164" fontId="75" fillId="13" borderId="6" xfId="0" applyNumberFormat="1" applyFont="1" applyFill="1" applyBorder="1" applyAlignment="1" applyProtection="1">
      <alignment vertical="center"/>
      <protection locked="0"/>
    </xf>
    <xf numFmtId="164" fontId="28" fillId="18" borderId="90" xfId="56" applyNumberFormat="1" applyFont="1" applyFill="1" applyBorder="1" applyAlignment="1" applyProtection="1">
      <alignment vertical="center"/>
    </xf>
    <xf numFmtId="164" fontId="28" fillId="14" borderId="51" xfId="56" applyNumberFormat="1" applyFont="1" applyFill="1" applyBorder="1" applyAlignment="1" applyProtection="1">
      <alignment vertical="center"/>
    </xf>
    <xf numFmtId="164" fontId="28" fillId="0" borderId="0" xfId="56" applyNumberFormat="1" applyFont="1" applyFill="1" applyBorder="1" applyAlignment="1" applyProtection="1">
      <alignment vertical="center"/>
    </xf>
    <xf numFmtId="164" fontId="27" fillId="18" borderId="50" xfId="0" applyNumberFormat="1" applyFont="1" applyFill="1" applyBorder="1" applyAlignment="1" applyProtection="1">
      <alignment vertical="center"/>
    </xf>
    <xf numFmtId="164" fontId="27" fillId="13" borderId="82" xfId="0" applyNumberFormat="1" applyFont="1" applyFill="1" applyBorder="1" applyAlignment="1" applyProtection="1">
      <alignment vertical="center"/>
      <protection locked="0"/>
    </xf>
    <xf numFmtId="164" fontId="27" fillId="18" borderId="6" xfId="0" applyNumberFormat="1" applyFont="1" applyFill="1" applyBorder="1" applyAlignment="1" applyProtection="1">
      <alignment vertical="center"/>
    </xf>
    <xf numFmtId="164" fontId="27" fillId="13" borderId="42" xfId="0" applyNumberFormat="1" applyFont="1" applyFill="1" applyBorder="1" applyAlignment="1" applyProtection="1">
      <alignment vertical="center"/>
      <protection locked="0"/>
    </xf>
    <xf numFmtId="164" fontId="27" fillId="18" borderId="45" xfId="0" applyNumberFormat="1" applyFont="1" applyFill="1" applyBorder="1" applyAlignment="1" applyProtection="1">
      <alignment vertical="center"/>
    </xf>
    <xf numFmtId="164" fontId="27" fillId="12" borderId="45" xfId="0" applyNumberFormat="1" applyFont="1" applyFill="1" applyBorder="1" applyAlignment="1" applyProtection="1">
      <alignment vertical="center"/>
    </xf>
    <xf numFmtId="164" fontId="27" fillId="13" borderId="80" xfId="0" applyNumberFormat="1" applyFont="1" applyFill="1" applyBorder="1" applyAlignment="1" applyProtection="1">
      <alignment vertical="center"/>
      <protection locked="0"/>
    </xf>
    <xf numFmtId="164" fontId="27" fillId="12" borderId="68" xfId="0" applyNumberFormat="1" applyFont="1" applyFill="1" applyBorder="1" applyAlignment="1" applyProtection="1">
      <alignment vertical="center"/>
    </xf>
    <xf numFmtId="164" fontId="27" fillId="13" borderId="12" xfId="0" applyNumberFormat="1" applyFont="1" applyFill="1" applyBorder="1" applyAlignment="1" applyProtection="1">
      <alignment vertical="center"/>
      <protection locked="0"/>
    </xf>
    <xf numFmtId="164" fontId="27" fillId="13" borderId="3" xfId="1" applyNumberFormat="1" applyFont="1" applyFill="1" applyBorder="1" applyAlignment="1" applyProtection="1">
      <alignment vertical="center"/>
      <protection locked="0"/>
    </xf>
    <xf numFmtId="164" fontId="27" fillId="12" borderId="12" xfId="0" applyNumberFormat="1" applyFont="1" applyFill="1" applyBorder="1" applyAlignment="1" applyProtection="1">
      <alignment vertical="center"/>
    </xf>
    <xf numFmtId="164" fontId="28" fillId="12" borderId="1" xfId="0" applyNumberFormat="1" applyFont="1" applyFill="1" applyBorder="1" applyAlignment="1" applyProtection="1">
      <alignment vertical="center"/>
    </xf>
    <xf numFmtId="164" fontId="27" fillId="13" borderId="4" xfId="0" applyNumberFormat="1" applyFont="1" applyFill="1" applyBorder="1" applyAlignment="1" applyProtection="1">
      <alignment vertical="center"/>
      <protection locked="0"/>
    </xf>
    <xf numFmtId="164" fontId="27" fillId="12" borderId="4" xfId="0" applyNumberFormat="1" applyFont="1" applyFill="1" applyBorder="1" applyAlignment="1" applyProtection="1">
      <alignment vertical="center"/>
    </xf>
    <xf numFmtId="164" fontId="28" fillId="12" borderId="13" xfId="0" applyNumberFormat="1" applyFont="1" applyFill="1" applyBorder="1" applyAlignment="1" applyProtection="1">
      <alignment vertical="center"/>
    </xf>
    <xf numFmtId="164" fontId="28" fillId="12" borderId="53" xfId="56" applyNumberFormat="1" applyFont="1" applyFill="1" applyBorder="1" applyAlignment="1" applyProtection="1">
      <alignment vertical="center"/>
    </xf>
    <xf numFmtId="164" fontId="28" fillId="12" borderId="53" xfId="0" applyNumberFormat="1" applyFont="1" applyFill="1" applyBorder="1" applyAlignment="1" applyProtection="1">
      <alignment vertical="center"/>
    </xf>
    <xf numFmtId="164" fontId="27" fillId="12" borderId="52" xfId="0" applyNumberFormat="1" applyFont="1" applyFill="1" applyBorder="1" applyAlignment="1" applyProtection="1">
      <alignment vertical="center"/>
    </xf>
    <xf numFmtId="164" fontId="27" fillId="12" borderId="50" xfId="0" applyNumberFormat="1" applyFont="1" applyFill="1" applyBorder="1" applyAlignment="1" applyProtection="1">
      <alignment vertical="center"/>
    </xf>
    <xf numFmtId="164" fontId="27" fillId="12" borderId="51" xfId="0" applyNumberFormat="1" applyFont="1" applyFill="1" applyBorder="1" applyAlignment="1" applyProtection="1">
      <alignment vertical="center"/>
    </xf>
    <xf numFmtId="164" fontId="27" fillId="12" borderId="42" xfId="0" applyNumberFormat="1" applyFont="1" applyFill="1" applyBorder="1" applyAlignment="1" applyProtection="1">
      <alignment vertical="center"/>
    </xf>
    <xf numFmtId="164" fontId="75" fillId="13" borderId="72" xfId="0" applyNumberFormat="1" applyFont="1" applyFill="1" applyBorder="1" applyAlignment="1" applyProtection="1">
      <alignment vertical="center"/>
      <protection locked="0"/>
    </xf>
    <xf numFmtId="174" fontId="27" fillId="12" borderId="1" xfId="10" applyNumberFormat="1" applyFont="1" applyFill="1" applyBorder="1" applyAlignment="1" applyProtection="1">
      <alignment horizontal="center" vertical="center"/>
    </xf>
    <xf numFmtId="164" fontId="28" fillId="12" borderId="1" xfId="0" applyNumberFormat="1" applyFont="1" applyFill="1" applyBorder="1" applyAlignment="1" applyProtection="1">
      <alignment vertical="center"/>
      <protection locked="0"/>
    </xf>
    <xf numFmtId="174" fontId="27" fillId="12" borderId="21" xfId="10" applyNumberFormat="1" applyFont="1" applyFill="1" applyBorder="1" applyAlignment="1" applyProtection="1">
      <alignment horizontal="center" vertical="center"/>
    </xf>
    <xf numFmtId="164" fontId="28" fillId="12" borderId="3" xfId="0" applyNumberFormat="1" applyFont="1" applyFill="1" applyBorder="1" applyAlignment="1" applyProtection="1">
      <alignment vertical="center"/>
    </xf>
    <xf numFmtId="9" fontId="27" fillId="12" borderId="39" xfId="10" applyFont="1" applyFill="1" applyBorder="1" applyAlignment="1" applyProtection="1">
      <alignment horizontal="center" vertical="center"/>
    </xf>
    <xf numFmtId="174" fontId="27" fillId="12" borderId="39" xfId="10" applyNumberFormat="1" applyFont="1" applyFill="1" applyBorder="1" applyAlignment="1" applyProtection="1">
      <alignment horizontal="center" vertical="center"/>
    </xf>
    <xf numFmtId="164" fontId="27" fillId="12" borderId="1" xfId="0" applyNumberFormat="1" applyFont="1" applyFill="1" applyBorder="1" applyAlignment="1" applyProtection="1">
      <alignment vertical="center" wrapText="1"/>
    </xf>
    <xf numFmtId="9" fontId="27" fillId="12" borderId="1" xfId="10" applyFont="1" applyFill="1" applyBorder="1" applyAlignment="1" applyProtection="1">
      <alignment horizontal="center" vertical="center"/>
    </xf>
    <xf numFmtId="164" fontId="28" fillId="12" borderId="39" xfId="0" applyNumberFormat="1" applyFont="1" applyFill="1" applyBorder="1" applyAlignment="1" applyProtection="1">
      <alignment vertical="center"/>
    </xf>
    <xf numFmtId="0" fontId="38" fillId="0" borderId="0" xfId="57" applyFont="1" applyFill="1" applyBorder="1" applyProtection="1"/>
    <xf numFmtId="0" fontId="38" fillId="0" borderId="0" xfId="57" applyFont="1" applyFill="1" applyProtection="1"/>
    <xf numFmtId="0" fontId="38" fillId="0" borderId="0" xfId="57" applyFont="1" applyProtection="1"/>
    <xf numFmtId="0" fontId="38" fillId="8" borderId="0" xfId="57" applyFont="1" applyFill="1" applyProtection="1"/>
    <xf numFmtId="0" fontId="38" fillId="0" borderId="0" xfId="57" applyFont="1" applyFill="1" applyProtection="1">
      <protection locked="0"/>
    </xf>
    <xf numFmtId="0" fontId="38" fillId="0" borderId="0" xfId="57" applyFont="1" applyFill="1" applyAlignment="1" applyProtection="1">
      <alignment vertical="center"/>
      <protection locked="0"/>
    </xf>
    <xf numFmtId="0" fontId="39" fillId="0" borderId="0" xfId="57" applyFont="1" applyAlignment="1" applyProtection="1">
      <alignment horizontal="center" wrapText="1"/>
    </xf>
    <xf numFmtId="0" fontId="58" fillId="0" borderId="0" xfId="57" applyFont="1" applyAlignment="1" applyProtection="1">
      <alignment horizontal="center" wrapText="1"/>
    </xf>
    <xf numFmtId="0" fontId="64" fillId="0" borderId="10" xfId="57" applyFont="1" applyBorder="1" applyAlignment="1" applyProtection="1"/>
    <xf numFmtId="0" fontId="39" fillId="0" borderId="0" xfId="57" applyFont="1" applyProtection="1"/>
    <xf numFmtId="0" fontId="38" fillId="22" borderId="0" xfId="57" applyFont="1" applyFill="1" applyBorder="1" applyProtection="1"/>
    <xf numFmtId="0" fontId="62" fillId="2" borderId="0" xfId="0" applyFont="1" applyFill="1" applyAlignment="1" applyProtection="1">
      <alignment wrapText="1"/>
    </xf>
    <xf numFmtId="0" fontId="3" fillId="0" borderId="0" xfId="58"/>
    <xf numFmtId="0" fontId="82" fillId="0" borderId="0" xfId="58" applyFont="1" applyBorder="1" applyAlignment="1">
      <alignment horizontal="left" vertical="center"/>
    </xf>
    <xf numFmtId="0" fontId="78" fillId="0" borderId="0" xfId="58" applyFont="1" applyBorder="1" applyAlignment="1">
      <alignment horizontal="left" vertical="center"/>
    </xf>
    <xf numFmtId="0" fontId="64" fillId="8" borderId="1" xfId="58" applyFont="1" applyFill="1" applyBorder="1" applyAlignment="1">
      <alignment horizontal="center" vertical="center" wrapText="1"/>
    </xf>
    <xf numFmtId="0" fontId="68" fillId="8" borderId="1" xfId="58" applyFont="1" applyFill="1" applyBorder="1" applyAlignment="1">
      <alignment vertical="center" wrapText="1"/>
    </xf>
    <xf numFmtId="0" fontId="68" fillId="12" borderId="1" xfId="58" applyFont="1" applyFill="1" applyBorder="1" applyAlignment="1">
      <alignment horizontal="center" vertical="center" wrapText="1"/>
    </xf>
    <xf numFmtId="0" fontId="28" fillId="16" borderId="1" xfId="58" applyFont="1" applyFill="1" applyBorder="1" applyAlignment="1" applyProtection="1">
      <alignment horizontal="center" vertical="center" wrapText="1"/>
    </xf>
    <xf numFmtId="0" fontId="68" fillId="16" borderId="1" xfId="58" applyFont="1" applyFill="1" applyBorder="1" applyAlignment="1">
      <alignment horizontal="center" vertical="center" wrapText="1"/>
    </xf>
    <xf numFmtId="0" fontId="38" fillId="0" borderId="1" xfId="58" applyFont="1" applyBorder="1" applyAlignment="1">
      <alignment horizontal="center" vertical="center" wrapText="1"/>
    </xf>
    <xf numFmtId="0" fontId="78" fillId="0" borderId="1" xfId="58" applyFont="1" applyBorder="1" applyAlignment="1">
      <alignment horizontal="left" vertical="top" wrapText="1"/>
    </xf>
    <xf numFmtId="0" fontId="23" fillId="0" borderId="1" xfId="58" applyFont="1" applyBorder="1" applyAlignment="1">
      <alignment horizontal="center" vertical="center" wrapText="1"/>
    </xf>
    <xf numFmtId="0" fontId="27" fillId="0" borderId="1" xfId="58" applyFont="1" applyBorder="1" applyAlignment="1">
      <alignment horizontal="left" vertical="top" wrapText="1"/>
    </xf>
    <xf numFmtId="0" fontId="72" fillId="0" borderId="0" xfId="58" applyFont="1"/>
    <xf numFmtId="49" fontId="22" fillId="0" borderId="0" xfId="0" applyNumberFormat="1" applyFont="1" applyAlignment="1" applyProtection="1">
      <alignment horizontal="right" vertical="center"/>
    </xf>
    <xf numFmtId="49" fontId="26" fillId="0" borderId="0" xfId="0" applyNumberFormat="1" applyFont="1" applyFill="1" applyAlignment="1" applyProtection="1">
      <alignment horizontal="right"/>
    </xf>
    <xf numFmtId="49" fontId="26" fillId="0" borderId="0" xfId="0" applyNumberFormat="1" applyFont="1" applyAlignment="1" applyProtection="1">
      <alignment horizontal="right"/>
    </xf>
    <xf numFmtId="49" fontId="22" fillId="0" borderId="0" xfId="0" applyNumberFormat="1" applyFont="1" applyFill="1" applyAlignment="1" applyProtection="1">
      <alignment horizontal="right" vertical="center"/>
    </xf>
    <xf numFmtId="49" fontId="22" fillId="0" borderId="0" xfId="0" applyNumberFormat="1" applyFont="1" applyFill="1" applyBorder="1" applyAlignment="1" applyProtection="1">
      <alignment horizontal="right" vertical="center"/>
    </xf>
    <xf numFmtId="0" fontId="89" fillId="0" borderId="0" xfId="5" applyFont="1"/>
    <xf numFmtId="0" fontId="89" fillId="0" borderId="0" xfId="5" quotePrefix="1" applyFont="1" applyAlignment="1">
      <alignment horizontal="left"/>
    </xf>
    <xf numFmtId="0" fontId="95" fillId="0" borderId="0" xfId="57" applyFont="1" applyFill="1" applyProtection="1"/>
    <xf numFmtId="0" fontId="92" fillId="22" borderId="0" xfId="57" applyFont="1" applyFill="1" applyBorder="1" applyProtection="1"/>
    <xf numFmtId="0" fontId="38" fillId="9" borderId="125" xfId="57" applyFont="1" applyFill="1" applyBorder="1" applyAlignment="1" applyProtection="1"/>
    <xf numFmtId="0" fontId="93" fillId="0" borderId="125" xfId="0" applyFont="1" applyFill="1" applyBorder="1" applyAlignment="1">
      <alignment horizontal="center" vertical="center" wrapText="1"/>
    </xf>
    <xf numFmtId="0" fontId="38" fillId="0" borderId="125" xfId="57" applyFont="1" applyFill="1" applyBorder="1" applyProtection="1"/>
    <xf numFmtId="0" fontId="38" fillId="0" borderId="125" xfId="57" applyFont="1" applyFill="1" applyBorder="1" applyAlignment="1" applyProtection="1"/>
    <xf numFmtId="178" fontId="22" fillId="12" borderId="125" xfId="57" applyNumberFormat="1" applyFont="1" applyFill="1" applyBorder="1" applyAlignment="1" applyProtection="1">
      <alignment vertical="center"/>
    </xf>
    <xf numFmtId="173" fontId="23" fillId="13" borderId="125" xfId="57" applyNumberFormat="1" applyFont="1" applyFill="1" applyBorder="1" applyAlignment="1" applyProtection="1">
      <alignment vertical="center" wrapText="1"/>
      <protection locked="0"/>
    </xf>
    <xf numFmtId="178" fontId="23" fillId="0" borderId="125" xfId="57" applyNumberFormat="1" applyFont="1" applyFill="1" applyBorder="1" applyAlignment="1" applyProtection="1">
      <alignment vertical="center"/>
    </xf>
    <xf numFmtId="173" fontId="23" fillId="16" borderId="125" xfId="57" applyNumberFormat="1" applyFont="1" applyFill="1" applyBorder="1" applyAlignment="1" applyProtection="1">
      <alignment vertical="center" wrapText="1"/>
    </xf>
    <xf numFmtId="0" fontId="38" fillId="0" borderId="125" xfId="57" applyFont="1" applyBorder="1" applyProtection="1"/>
    <xf numFmtId="0" fontId="64" fillId="9" borderId="125" xfId="57" applyFont="1" applyFill="1" applyBorder="1" applyAlignment="1" applyProtection="1">
      <alignment vertical="center"/>
    </xf>
    <xf numFmtId="0" fontId="38" fillId="0" borderId="126" xfId="57" applyFont="1" applyBorder="1" applyProtection="1"/>
    <xf numFmtId="0" fontId="38" fillId="0" borderId="127" xfId="57" applyFont="1" applyBorder="1" applyProtection="1"/>
    <xf numFmtId="0" fontId="64" fillId="9" borderId="126" xfId="57" applyFont="1" applyFill="1" applyBorder="1" applyAlignment="1" applyProtection="1">
      <alignment vertical="center"/>
    </xf>
    <xf numFmtId="0" fontId="64" fillId="9" borderId="127" xfId="57" applyFont="1" applyFill="1" applyBorder="1" applyAlignment="1" applyProtection="1">
      <alignment vertical="center"/>
    </xf>
    <xf numFmtId="0" fontId="64" fillId="9" borderId="128" xfId="0" applyFont="1" applyFill="1" applyBorder="1" applyAlignment="1" applyProtection="1">
      <alignment vertical="center"/>
    </xf>
    <xf numFmtId="178" fontId="22" fillId="12" borderId="128" xfId="57" applyNumberFormat="1" applyFont="1" applyFill="1" applyBorder="1" applyAlignment="1" applyProtection="1">
      <alignment vertical="center"/>
    </xf>
    <xf numFmtId="173" fontId="23" fillId="13" borderId="128" xfId="57" applyNumberFormat="1" applyFont="1" applyFill="1" applyBorder="1" applyAlignment="1" applyProtection="1">
      <alignment vertical="center" wrapText="1"/>
      <protection locked="0"/>
    </xf>
    <xf numFmtId="164" fontId="27" fillId="13" borderId="125" xfId="1" applyNumberFormat="1" applyFont="1" applyFill="1" applyBorder="1" applyAlignment="1" applyProtection="1">
      <alignment vertical="center"/>
      <protection locked="0"/>
    </xf>
    <xf numFmtId="164" fontId="27" fillId="12" borderId="125" xfId="0" applyNumberFormat="1" applyFont="1" applyFill="1" applyBorder="1" applyAlignment="1" applyProtection="1">
      <alignment vertical="center"/>
    </xf>
    <xf numFmtId="0" fontId="27" fillId="0" borderId="125" xfId="0" applyFont="1" applyBorder="1" applyAlignment="1" applyProtection="1">
      <alignment horizontal="left" vertical="center"/>
      <protection locked="0"/>
    </xf>
    <xf numFmtId="0" fontId="26" fillId="0" borderId="125" xfId="0" applyFont="1" applyBorder="1" applyProtection="1"/>
    <xf numFmtId="0" fontId="26" fillId="0" borderId="0" xfId="0" applyFont="1" applyFill="1" applyBorder="1" applyProtection="1">
      <protection locked="0"/>
    </xf>
    <xf numFmtId="0" fontId="26" fillId="0" borderId="33" xfId="0" applyFont="1" applyBorder="1" applyProtection="1">
      <protection locked="0"/>
    </xf>
    <xf numFmtId="0" fontId="26" fillId="0" borderId="129" xfId="0" applyFont="1" applyBorder="1" applyProtection="1"/>
    <xf numFmtId="0" fontId="28" fillId="0" borderId="129" xfId="0" applyFont="1" applyBorder="1" applyAlignment="1" applyProtection="1">
      <alignment vertical="center" wrapText="1"/>
    </xf>
    <xf numFmtId="0" fontId="26" fillId="0" borderId="7" xfId="0" applyFont="1" applyBorder="1" applyProtection="1"/>
    <xf numFmtId="164" fontId="27" fillId="0" borderId="10" xfId="1" applyNumberFormat="1" applyFont="1" applyFill="1" applyBorder="1" applyAlignment="1" applyProtection="1">
      <alignment vertical="center"/>
      <protection locked="0"/>
    </xf>
    <xf numFmtId="164" fontId="27" fillId="0" borderId="10" xfId="0" applyNumberFormat="1" applyFont="1" applyFill="1" applyBorder="1" applyAlignment="1" applyProtection="1">
      <alignment vertical="center"/>
    </xf>
    <xf numFmtId="0" fontId="27" fillId="0" borderId="10" xfId="0" applyFont="1" applyBorder="1" applyAlignment="1" applyProtection="1">
      <alignment horizontal="left" vertical="center"/>
      <protection locked="0"/>
    </xf>
    <xf numFmtId="0" fontId="26" fillId="0" borderId="67" xfId="0" applyFont="1" applyBorder="1" applyProtection="1">
      <protection locked="0"/>
    </xf>
    <xf numFmtId="0" fontId="31" fillId="0" borderId="33" xfId="0" applyFont="1" applyFill="1" applyBorder="1" applyProtection="1">
      <protection locked="0"/>
    </xf>
    <xf numFmtId="0" fontId="31" fillId="0" borderId="0" xfId="0" applyFont="1" applyFill="1" applyBorder="1" applyProtection="1">
      <protection locked="0"/>
    </xf>
    <xf numFmtId="14" fontId="15" fillId="0" borderId="0" xfId="5" applyNumberFormat="1"/>
    <xf numFmtId="0" fontId="26" fillId="9" borderId="125" xfId="0" applyFont="1" applyFill="1" applyBorder="1" applyAlignment="1" applyProtection="1">
      <alignment horizontal="left" vertical="center"/>
    </xf>
    <xf numFmtId="0" fontId="23" fillId="12" borderId="125" xfId="57" applyFont="1" applyFill="1" applyBorder="1" applyAlignment="1" applyProtection="1">
      <alignment vertical="center"/>
    </xf>
    <xf numFmtId="0" fontId="26" fillId="0" borderId="125" xfId="0" applyFont="1" applyFill="1" applyBorder="1" applyAlignment="1" applyProtection="1">
      <alignment horizontal="left" vertical="center" wrapText="1"/>
    </xf>
    <xf numFmtId="0" fontId="35" fillId="9" borderId="125" xfId="0" applyFont="1" applyFill="1" applyBorder="1" applyAlignment="1" applyProtection="1">
      <alignment horizontal="left" vertical="center" wrapText="1"/>
    </xf>
    <xf numFmtId="172" fontId="28" fillId="16" borderId="114" xfId="0" applyNumberFormat="1" applyFont="1" applyFill="1" applyBorder="1" applyAlignment="1" applyProtection="1">
      <alignment horizontal="center" vertical="center" wrapText="1"/>
    </xf>
    <xf numFmtId="0" fontId="28" fillId="16" borderId="114" xfId="0" applyFont="1" applyFill="1" applyBorder="1" applyAlignment="1" applyProtection="1">
      <alignment horizontal="center" vertical="center" wrapText="1"/>
    </xf>
    <xf numFmtId="172" fontId="28" fillId="17" borderId="114" xfId="0" applyNumberFormat="1" applyFont="1" applyFill="1" applyBorder="1" applyAlignment="1" applyProtection="1">
      <alignment horizontal="center" vertical="center" wrapText="1"/>
    </xf>
    <xf numFmtId="0" fontId="26" fillId="0" borderId="114" xfId="0" applyFont="1" applyBorder="1" applyProtection="1">
      <protection locked="0"/>
    </xf>
    <xf numFmtId="0" fontId="26" fillId="0" borderId="114" xfId="0" applyFont="1" applyFill="1" applyBorder="1" applyProtection="1">
      <protection locked="0"/>
    </xf>
    <xf numFmtId="0" fontId="31" fillId="0" borderId="114" xfId="0" applyFont="1" applyFill="1" applyBorder="1" applyProtection="1">
      <protection locked="0"/>
    </xf>
    <xf numFmtId="0" fontId="62" fillId="0" borderId="0" xfId="0" applyFont="1" applyAlignment="1" applyProtection="1">
      <alignment horizontal="left" vertical="center"/>
    </xf>
    <xf numFmtId="0" fontId="28" fillId="16" borderId="65" xfId="0" applyFont="1" applyFill="1" applyBorder="1" applyAlignment="1" applyProtection="1">
      <alignment horizontal="center" vertical="center" wrapText="1"/>
    </xf>
    <xf numFmtId="0" fontId="32" fillId="9" borderId="0" xfId="0" applyFont="1" applyFill="1" applyBorder="1" applyAlignment="1" applyProtection="1">
      <alignment vertical="center" wrapText="1"/>
    </xf>
    <xf numFmtId="0" fontId="28" fillId="9" borderId="8" xfId="0" applyFont="1" applyFill="1" applyBorder="1" applyAlignment="1" applyProtection="1">
      <alignment vertical="center" wrapText="1"/>
    </xf>
    <xf numFmtId="15" fontId="27" fillId="9" borderId="8" xfId="0" applyNumberFormat="1" applyFont="1" applyFill="1" applyBorder="1" applyAlignment="1" applyProtection="1">
      <alignment horizontal="left" vertical="center" wrapText="1"/>
    </xf>
    <xf numFmtId="15" fontId="27" fillId="9" borderId="5" xfId="0" applyNumberFormat="1" applyFont="1" applyFill="1" applyBorder="1" applyAlignment="1" applyProtection="1">
      <alignment vertical="center" wrapText="1"/>
    </xf>
    <xf numFmtId="0" fontId="27" fillId="9" borderId="44" xfId="0" applyFont="1" applyFill="1" applyBorder="1" applyAlignment="1" applyProtection="1">
      <alignment horizontal="left" vertical="center" wrapText="1"/>
    </xf>
    <xf numFmtId="0" fontId="28" fillId="9" borderId="10" xfId="0" applyFont="1" applyFill="1" applyBorder="1" applyAlignment="1" applyProtection="1">
      <alignment vertical="center" wrapText="1"/>
    </xf>
    <xf numFmtId="15" fontId="27" fillId="9" borderId="10" xfId="0" applyNumberFormat="1" applyFont="1" applyFill="1" applyBorder="1" applyAlignment="1" applyProtection="1">
      <alignment horizontal="left" vertical="center" wrapText="1"/>
    </xf>
    <xf numFmtId="15" fontId="27" fillId="9" borderId="72" xfId="0" applyNumberFormat="1" applyFont="1" applyFill="1" applyBorder="1" applyAlignment="1" applyProtection="1">
      <alignment vertical="center" wrapText="1"/>
    </xf>
    <xf numFmtId="0" fontId="27" fillId="9" borderId="67" xfId="0" applyFont="1" applyFill="1" applyBorder="1" applyAlignment="1" applyProtection="1">
      <alignment horizontal="left" vertical="center" wrapText="1"/>
    </xf>
    <xf numFmtId="0" fontId="28" fillId="9" borderId="45" xfId="0" applyFont="1" applyFill="1" applyBorder="1" applyAlignment="1" applyProtection="1">
      <alignment vertical="center" wrapText="1"/>
    </xf>
    <xf numFmtId="15" fontId="27" fillId="9" borderId="45" xfId="0" applyNumberFormat="1" applyFont="1" applyFill="1" applyBorder="1" applyAlignment="1" applyProtection="1">
      <alignment horizontal="left" vertical="center" wrapText="1"/>
    </xf>
    <xf numFmtId="0" fontId="28" fillId="24" borderId="3" xfId="0" applyFont="1" applyFill="1" applyBorder="1" applyAlignment="1" applyProtection="1">
      <alignment vertical="center" wrapText="1"/>
    </xf>
    <xf numFmtId="15" fontId="27" fillId="24" borderId="3" xfId="0" applyNumberFormat="1" applyFont="1" applyFill="1" applyBorder="1" applyAlignment="1" applyProtection="1">
      <alignment horizontal="left" vertical="center" wrapText="1"/>
    </xf>
    <xf numFmtId="15" fontId="27" fillId="24" borderId="3" xfId="0" applyNumberFormat="1" applyFont="1" applyFill="1" applyBorder="1" applyAlignment="1" applyProtection="1">
      <alignment vertical="center" wrapText="1"/>
    </xf>
    <xf numFmtId="0" fontId="28" fillId="24" borderId="42" xfId="0" applyFont="1" applyFill="1" applyBorder="1" applyAlignment="1" applyProtection="1">
      <alignment vertical="center" wrapText="1"/>
    </xf>
    <xf numFmtId="15" fontId="27" fillId="24" borderId="42" xfId="0" applyNumberFormat="1" applyFont="1" applyFill="1" applyBorder="1" applyAlignment="1" applyProtection="1">
      <alignment horizontal="left" vertical="center" wrapText="1"/>
    </xf>
    <xf numFmtId="15" fontId="27" fillId="24" borderId="42" xfId="0" applyNumberFormat="1" applyFont="1" applyFill="1" applyBorder="1" applyAlignment="1" applyProtection="1">
      <alignment vertical="center" wrapText="1"/>
    </xf>
    <xf numFmtId="0" fontId="32" fillId="9" borderId="33" xfId="0" applyFont="1" applyFill="1" applyBorder="1" applyAlignment="1" applyProtection="1">
      <alignment vertical="center" wrapText="1"/>
    </xf>
    <xf numFmtId="0" fontId="32" fillId="9" borderId="44" xfId="0" applyFont="1" applyFill="1" applyBorder="1" applyAlignment="1" applyProtection="1">
      <alignment vertical="center" wrapText="1"/>
    </xf>
    <xf numFmtId="0" fontId="32" fillId="9" borderId="10" xfId="0" applyFont="1" applyFill="1" applyBorder="1" applyAlignment="1" applyProtection="1">
      <alignment vertical="center" wrapText="1"/>
    </xf>
    <xf numFmtId="0" fontId="32" fillId="9" borderId="67" xfId="0" applyFont="1" applyFill="1" applyBorder="1" applyAlignment="1" applyProtection="1">
      <alignment vertical="center" wrapText="1"/>
    </xf>
    <xf numFmtId="0" fontId="28" fillId="16" borderId="55" xfId="0" applyNumberFormat="1" applyFont="1" applyFill="1" applyBorder="1" applyAlignment="1" applyProtection="1">
      <alignment horizontal="center" vertical="center"/>
    </xf>
    <xf numFmtId="0" fontId="28" fillId="24" borderId="8" xfId="0" applyFont="1" applyFill="1" applyBorder="1" applyAlignment="1" applyProtection="1">
      <alignment vertical="center" wrapText="1"/>
    </xf>
    <xf numFmtId="15" fontId="27" fillId="24" borderId="8" xfId="0" applyNumberFormat="1" applyFont="1" applyFill="1" applyBorder="1" applyAlignment="1" applyProtection="1">
      <alignment horizontal="left" vertical="center" wrapText="1"/>
    </xf>
    <xf numFmtId="0" fontId="28" fillId="24" borderId="45" xfId="0" applyFont="1" applyFill="1" applyBorder="1" applyAlignment="1" applyProtection="1">
      <alignment vertical="center" wrapText="1"/>
    </xf>
    <xf numFmtId="15" fontId="27" fillId="24" borderId="45" xfId="0" applyNumberFormat="1" applyFont="1" applyFill="1" applyBorder="1" applyAlignment="1" applyProtection="1">
      <alignment horizontal="left" vertical="center" wrapText="1"/>
    </xf>
    <xf numFmtId="0" fontId="32" fillId="8" borderId="55" xfId="6" applyFont="1" applyFill="1" applyBorder="1" applyAlignment="1" applyProtection="1">
      <alignment vertical="center"/>
    </xf>
    <xf numFmtId="0" fontId="32" fillId="8" borderId="58" xfId="6" applyFont="1" applyFill="1" applyBorder="1" applyAlignment="1" applyProtection="1">
      <alignment vertical="center"/>
    </xf>
    <xf numFmtId="0" fontId="26" fillId="8" borderId="58" xfId="5" applyFont="1" applyFill="1" applyBorder="1" applyAlignment="1" applyProtection="1">
      <alignment vertical="center"/>
    </xf>
    <xf numFmtId="0" fontId="26" fillId="8" borderId="66" xfId="5" applyFont="1" applyFill="1" applyBorder="1" applyAlignment="1" applyProtection="1">
      <alignment vertical="center"/>
    </xf>
    <xf numFmtId="0" fontId="32" fillId="24" borderId="58" xfId="6" applyFont="1" applyFill="1" applyBorder="1" applyAlignment="1" applyProtection="1">
      <alignment vertical="center"/>
    </xf>
    <xf numFmtId="0" fontId="27" fillId="24" borderId="58" xfId="5" applyFont="1" applyFill="1" applyBorder="1" applyProtection="1">
      <protection locked="0"/>
    </xf>
    <xf numFmtId="0" fontId="32" fillId="8" borderId="33" xfId="6" applyFont="1" applyFill="1" applyBorder="1" applyAlignment="1" applyProtection="1">
      <alignment vertical="center"/>
    </xf>
    <xf numFmtId="0" fontId="32" fillId="13" borderId="36" xfId="6" applyFont="1" applyFill="1" applyBorder="1" applyAlignment="1" applyProtection="1">
      <alignment horizontal="center" vertical="center" wrapText="1"/>
      <protection locked="0"/>
    </xf>
    <xf numFmtId="0" fontId="28" fillId="24" borderId="8" xfId="0" applyFont="1" applyFill="1" applyBorder="1" applyAlignment="1" applyProtection="1">
      <alignment horizontal="right" vertical="center" wrapText="1"/>
    </xf>
    <xf numFmtId="15" fontId="27" fillId="24" borderId="5" xfId="0" applyNumberFormat="1" applyFont="1" applyFill="1" applyBorder="1" applyAlignment="1" applyProtection="1">
      <alignment vertical="center" wrapText="1"/>
    </xf>
    <xf numFmtId="0" fontId="28" fillId="24" borderId="10" xfId="0" applyFont="1" applyFill="1" applyBorder="1" applyAlignment="1" applyProtection="1">
      <alignment horizontal="right" vertical="center" wrapText="1"/>
    </xf>
    <xf numFmtId="0" fontId="26" fillId="24" borderId="10" xfId="5" applyFont="1" applyFill="1" applyBorder="1" applyProtection="1"/>
    <xf numFmtId="15" fontId="27" fillId="24" borderId="72" xfId="0" applyNumberFormat="1" applyFont="1" applyFill="1" applyBorder="1" applyAlignment="1" applyProtection="1">
      <alignment vertical="center" wrapText="1"/>
    </xf>
    <xf numFmtId="0" fontId="32" fillId="8" borderId="40" xfId="6" applyFont="1" applyFill="1" applyBorder="1" applyAlignment="1" applyProtection="1">
      <alignment vertical="center"/>
    </xf>
    <xf numFmtId="0" fontId="26" fillId="24" borderId="33" xfId="5" applyFont="1" applyFill="1" applyBorder="1" applyAlignment="1" applyProtection="1">
      <alignment vertical="center"/>
    </xf>
    <xf numFmtId="0" fontId="26" fillId="24" borderId="44" xfId="5" applyFont="1" applyFill="1" applyBorder="1" applyAlignment="1" applyProtection="1">
      <alignment vertical="center"/>
    </xf>
    <xf numFmtId="0" fontId="26" fillId="24" borderId="67" xfId="5" applyFont="1" applyFill="1" applyBorder="1" applyProtection="1"/>
    <xf numFmtId="0" fontId="25" fillId="8" borderId="40" xfId="6" applyFont="1" applyFill="1" applyBorder="1" applyAlignment="1" applyProtection="1">
      <alignment vertical="center"/>
    </xf>
    <xf numFmtId="0" fontId="28" fillId="24" borderId="36" xfId="6" applyFont="1" applyFill="1" applyBorder="1" applyAlignment="1" applyProtection="1">
      <alignment horizontal="center" vertical="center" wrapText="1"/>
    </xf>
    <xf numFmtId="15" fontId="42" fillId="8" borderId="8" xfId="6" applyNumberFormat="1" applyFont="1" applyFill="1" applyBorder="1" applyAlignment="1" applyProtection="1">
      <alignment vertical="center"/>
    </xf>
    <xf numFmtId="0" fontId="42" fillId="8" borderId="8" xfId="6" applyFont="1" applyFill="1" applyBorder="1" applyAlignment="1" applyProtection="1">
      <alignment horizontal="right" vertical="center"/>
    </xf>
    <xf numFmtId="0" fontId="38" fillId="8" borderId="8" xfId="57" applyFont="1" applyFill="1" applyBorder="1" applyProtection="1"/>
    <xf numFmtId="15" fontId="42" fillId="8" borderId="5" xfId="6" applyNumberFormat="1" applyFont="1" applyFill="1" applyBorder="1" applyAlignment="1" applyProtection="1">
      <alignment vertical="center"/>
    </xf>
    <xf numFmtId="0" fontId="42" fillId="8" borderId="33" xfId="6" applyFont="1" applyFill="1" applyBorder="1" applyAlignment="1" applyProtection="1">
      <alignment vertical="center"/>
    </xf>
    <xf numFmtId="0" fontId="38" fillId="8" borderId="33" xfId="57" applyFont="1" applyFill="1" applyBorder="1" applyProtection="1"/>
    <xf numFmtId="0" fontId="38" fillId="8" borderId="44" xfId="57" applyFont="1" applyFill="1" applyBorder="1" applyProtection="1"/>
    <xf numFmtId="15" fontId="42" fillId="8" borderId="10" xfId="6" applyNumberFormat="1" applyFont="1" applyFill="1" applyBorder="1" applyAlignment="1" applyProtection="1">
      <alignment vertical="center"/>
    </xf>
    <xf numFmtId="0" fontId="42" fillId="8" borderId="10" xfId="6" applyFont="1" applyFill="1" applyBorder="1" applyAlignment="1" applyProtection="1">
      <alignment horizontal="right" vertical="center"/>
    </xf>
    <xf numFmtId="0" fontId="38" fillId="8" borderId="10" xfId="57" applyFont="1" applyFill="1" applyBorder="1" applyProtection="1"/>
    <xf numFmtId="0" fontId="68" fillId="13" borderId="36" xfId="57" applyFont="1" applyFill="1" applyBorder="1" applyAlignment="1" applyProtection="1">
      <alignment horizontal="center" vertical="center"/>
      <protection locked="0"/>
    </xf>
    <xf numFmtId="0" fontId="32" fillId="8" borderId="7" xfId="6" applyFont="1" applyFill="1" applyBorder="1" applyAlignment="1" applyProtection="1">
      <alignment vertical="center"/>
    </xf>
    <xf numFmtId="0" fontId="32" fillId="8" borderId="10" xfId="6" applyFont="1" applyFill="1" applyBorder="1" applyAlignment="1" applyProtection="1">
      <alignment vertical="center"/>
    </xf>
    <xf numFmtId="0" fontId="62" fillId="24" borderId="33" xfId="0" applyFont="1" applyFill="1" applyBorder="1" applyAlignment="1" applyProtection="1">
      <alignment vertical="center" wrapText="1"/>
    </xf>
    <xf numFmtId="0" fontId="62" fillId="24" borderId="44" xfId="0" applyFont="1" applyFill="1" applyBorder="1" applyAlignment="1" applyProtection="1">
      <alignment vertical="center" wrapText="1"/>
    </xf>
    <xf numFmtId="0" fontId="62" fillId="24" borderId="10" xfId="0" applyFont="1" applyFill="1" applyBorder="1" applyAlignment="1" applyProtection="1">
      <alignment horizontal="left" vertical="center" wrapText="1"/>
    </xf>
    <xf numFmtId="0" fontId="62" fillId="24" borderId="67" xfId="0" applyFont="1" applyFill="1" applyBorder="1" applyAlignment="1" applyProtection="1">
      <alignment horizontal="left" vertical="center" wrapText="1"/>
    </xf>
    <xf numFmtId="0" fontId="96" fillId="2" borderId="0" xfId="0" applyNumberFormat="1" applyFont="1" applyFill="1" applyAlignment="1" applyProtection="1">
      <alignment wrapText="1"/>
    </xf>
    <xf numFmtId="0" fontId="97" fillId="2" borderId="0" xfId="0" applyFont="1" applyFill="1" applyProtection="1"/>
    <xf numFmtId="0" fontId="98" fillId="2" borderId="0" xfId="0" applyFont="1" applyFill="1" applyAlignment="1" applyProtection="1">
      <alignment wrapText="1"/>
    </xf>
    <xf numFmtId="0" fontId="97" fillId="2" borderId="0" xfId="0" applyFont="1" applyFill="1" applyProtection="1">
      <protection hidden="1"/>
    </xf>
    <xf numFmtId="0" fontId="96" fillId="2" borderId="0" xfId="0" applyFont="1" applyFill="1" applyAlignment="1" applyProtection="1">
      <alignment wrapText="1"/>
    </xf>
    <xf numFmtId="0" fontId="99" fillId="2" borderId="0" xfId="0" applyFont="1" applyFill="1" applyAlignment="1" applyProtection="1">
      <alignment wrapText="1"/>
    </xf>
    <xf numFmtId="0" fontId="100" fillId="2" borderId="0" xfId="0" applyFont="1" applyFill="1" applyBorder="1" applyAlignment="1" applyProtection="1">
      <alignment horizontal="left" vertical="top" wrapText="1"/>
    </xf>
    <xf numFmtId="164" fontId="27" fillId="12" borderId="1" xfId="56" applyNumberFormat="1" applyFont="1" applyFill="1" applyBorder="1" applyAlignment="1" applyProtection="1">
      <alignment vertical="center"/>
    </xf>
    <xf numFmtId="0" fontId="26" fillId="2" borderId="114" xfId="0" applyFont="1" applyFill="1" applyBorder="1" applyAlignment="1" applyProtection="1">
      <alignment wrapText="1"/>
      <protection locked="0"/>
    </xf>
    <xf numFmtId="49" fontId="78" fillId="13" borderId="99" xfId="5" applyNumberFormat="1" applyFont="1" applyFill="1" applyBorder="1" applyAlignment="1" applyProtection="1">
      <alignment vertical="center" wrapText="1"/>
      <protection locked="0"/>
    </xf>
    <xf numFmtId="15" fontId="27" fillId="24" borderId="48" xfId="0" applyNumberFormat="1" applyFont="1" applyFill="1" applyBorder="1" applyAlignment="1" applyProtection="1">
      <alignment vertical="center" wrapText="1"/>
    </xf>
    <xf numFmtId="15" fontId="27" fillId="24" borderId="46" xfId="0" applyNumberFormat="1" applyFont="1" applyFill="1" applyBorder="1" applyAlignment="1" applyProtection="1">
      <alignment vertical="center" wrapText="1"/>
    </xf>
    <xf numFmtId="178" fontId="23" fillId="12" borderId="99" xfId="5" applyNumberFormat="1" applyFont="1" applyFill="1" applyBorder="1" applyAlignment="1" applyProtection="1">
      <alignment vertical="center"/>
      <protection locked="0"/>
    </xf>
    <xf numFmtId="0" fontId="26" fillId="9" borderId="102" xfId="5" applyFont="1" applyFill="1" applyBorder="1" applyAlignment="1" applyProtection="1">
      <alignment horizontal="left" vertical="center" wrapText="1"/>
    </xf>
    <xf numFmtId="0" fontId="27" fillId="9" borderId="102" xfId="5" applyFont="1" applyFill="1" applyBorder="1" applyAlignment="1" applyProtection="1">
      <alignment horizontal="left" vertical="top" wrapText="1"/>
    </xf>
    <xf numFmtId="0" fontId="23" fillId="0" borderId="87" xfId="0" applyFont="1" applyFill="1" applyBorder="1" applyAlignment="1" applyProtection="1">
      <alignment horizontal="left" vertical="center" wrapText="1"/>
    </xf>
    <xf numFmtId="0" fontId="94" fillId="0" borderId="0" xfId="57" quotePrefix="1" applyFont="1" applyAlignment="1" applyProtection="1">
      <alignment horizontal="left"/>
    </xf>
    <xf numFmtId="0" fontId="94" fillId="0" borderId="0" xfId="57" applyFont="1" applyProtection="1"/>
    <xf numFmtId="0" fontId="101" fillId="0" borderId="0" xfId="57" applyFont="1" applyProtection="1"/>
    <xf numFmtId="0" fontId="102" fillId="0" borderId="0" xfId="57" applyFont="1" applyProtection="1"/>
    <xf numFmtId="0" fontId="27" fillId="8" borderId="99" xfId="0" quotePrefix="1" applyNumberFormat="1" applyFont="1" applyFill="1" applyBorder="1" applyAlignment="1" applyProtection="1">
      <alignment horizontal="left" vertical="center" wrapText="1"/>
    </xf>
    <xf numFmtId="0" fontId="33" fillId="0" borderId="0" xfId="0" quotePrefix="1" applyFont="1" applyFill="1" applyBorder="1" applyAlignment="1" applyProtection="1">
      <alignment horizontal="left" vertical="center"/>
    </xf>
    <xf numFmtId="0" fontId="51" fillId="2" borderId="1" xfId="0" quotePrefix="1" applyFont="1" applyFill="1" applyBorder="1" applyAlignment="1" applyProtection="1">
      <alignment horizontal="center" wrapText="1"/>
      <protection locked="0"/>
    </xf>
    <xf numFmtId="0" fontId="28" fillId="6" borderId="92" xfId="0" applyFont="1" applyFill="1" applyBorder="1" applyAlignment="1" applyProtection="1">
      <alignment vertical="center" wrapText="1"/>
    </xf>
    <xf numFmtId="0" fontId="28" fillId="6" borderId="71" xfId="0" applyFont="1" applyFill="1" applyBorder="1" applyAlignment="1" applyProtection="1">
      <alignment vertical="center" wrapText="1"/>
      <protection locked="0"/>
    </xf>
    <xf numFmtId="0" fontId="27" fillId="0" borderId="8" xfId="0" applyFont="1" applyFill="1" applyBorder="1" applyAlignment="1" applyProtection="1">
      <alignment vertical="center" wrapText="1"/>
    </xf>
    <xf numFmtId="173" fontId="28" fillId="6" borderId="16" xfId="0" applyNumberFormat="1" applyFont="1" applyFill="1" applyBorder="1" applyAlignment="1" applyProtection="1">
      <alignment vertical="center" wrapText="1"/>
    </xf>
    <xf numFmtId="0" fontId="27" fillId="0" borderId="35" xfId="0" applyFont="1" applyFill="1" applyBorder="1" applyAlignment="1" applyProtection="1">
      <alignment vertical="center" wrapText="1"/>
    </xf>
    <xf numFmtId="0" fontId="27" fillId="0" borderId="4" xfId="0" applyFont="1" applyBorder="1" applyAlignment="1" applyProtection="1">
      <alignment vertical="center" wrapText="1"/>
      <protection locked="0"/>
    </xf>
    <xf numFmtId="173" fontId="27" fillId="6" borderId="4" xfId="0" applyNumberFormat="1" applyFont="1" applyFill="1" applyBorder="1" applyAlignment="1" applyProtection="1">
      <alignment vertical="center" wrapText="1"/>
      <protection locked="0"/>
    </xf>
    <xf numFmtId="173" fontId="28" fillId="6" borderId="53" xfId="0" applyNumberFormat="1" applyFont="1" applyFill="1" applyBorder="1" applyAlignment="1" applyProtection="1">
      <alignment vertical="center" wrapText="1"/>
      <protection locked="0"/>
    </xf>
    <xf numFmtId="173" fontId="75" fillId="0" borderId="0" xfId="0" applyNumberFormat="1" applyFont="1" applyFill="1" applyBorder="1" applyAlignment="1" applyProtection="1">
      <alignment vertical="center" wrapText="1"/>
    </xf>
    <xf numFmtId="0" fontId="27" fillId="6" borderId="37" xfId="0" applyFont="1" applyFill="1" applyBorder="1" applyAlignment="1" applyProtection="1">
      <alignment vertical="center" wrapText="1"/>
      <protection locked="0"/>
    </xf>
    <xf numFmtId="0" fontId="28" fillId="6" borderId="46" xfId="0" applyFont="1" applyFill="1" applyBorder="1" applyAlignment="1" applyProtection="1">
      <alignment vertical="center" wrapText="1"/>
      <protection locked="0"/>
    </xf>
    <xf numFmtId="173" fontId="28" fillId="0" borderId="45" xfId="0" applyNumberFormat="1" applyFont="1" applyFill="1" applyBorder="1" applyAlignment="1" applyProtection="1">
      <alignment vertical="center" wrapText="1"/>
      <protection locked="0"/>
    </xf>
    <xf numFmtId="173" fontId="27" fillId="0" borderId="16" xfId="0" applyNumberFormat="1" applyFont="1" applyFill="1" applyBorder="1" applyAlignment="1" applyProtection="1">
      <alignment vertical="center" wrapText="1"/>
      <protection locked="0"/>
    </xf>
    <xf numFmtId="173" fontId="28" fillId="6" borderId="68" xfId="0" applyNumberFormat="1" applyFont="1" applyFill="1" applyBorder="1" applyAlignment="1" applyProtection="1">
      <alignment vertical="center" wrapText="1"/>
      <protection locked="0"/>
    </xf>
    <xf numFmtId="173" fontId="28" fillId="6" borderId="13" xfId="0" applyNumberFormat="1" applyFont="1" applyFill="1" applyBorder="1" applyAlignment="1" applyProtection="1">
      <alignment vertical="center" wrapText="1"/>
      <protection locked="0"/>
    </xf>
    <xf numFmtId="173" fontId="28" fillId="0" borderId="71" xfId="0" applyNumberFormat="1" applyFont="1" applyFill="1" applyBorder="1" applyAlignment="1" applyProtection="1">
      <alignment vertical="center" wrapText="1"/>
      <protection locked="0"/>
    </xf>
    <xf numFmtId="173" fontId="27" fillId="0" borderId="125" xfId="0" applyNumberFormat="1" applyFont="1" applyFill="1" applyBorder="1" applyAlignment="1" applyProtection="1">
      <alignment horizontal="left" vertical="center" wrapText="1"/>
      <protection locked="0"/>
    </xf>
    <xf numFmtId="0" fontId="27" fillId="0" borderId="125" xfId="0" applyFont="1" applyBorder="1" applyAlignment="1" applyProtection="1">
      <alignment horizontal="left" vertical="center" wrapText="1"/>
      <protection locked="0"/>
    </xf>
    <xf numFmtId="0" fontId="28" fillId="4" borderId="114" xfId="0" quotePrefix="1" applyFont="1" applyFill="1" applyBorder="1" applyAlignment="1" applyProtection="1">
      <alignment horizontal="center" vertical="center" wrapText="1"/>
    </xf>
    <xf numFmtId="0" fontId="26" fillId="0" borderId="125" xfId="0" applyFont="1" applyBorder="1" applyAlignment="1" applyProtection="1">
      <alignment wrapText="1"/>
    </xf>
    <xf numFmtId="0" fontId="26" fillId="2" borderId="114" xfId="0" applyFont="1" applyFill="1" applyBorder="1" applyAlignment="1" applyProtection="1">
      <alignment horizontal="left" vertical="center" wrapText="1"/>
      <protection locked="0"/>
    </xf>
    <xf numFmtId="0" fontId="27" fillId="8" borderId="114" xfId="0" applyFont="1" applyFill="1" applyBorder="1" applyAlignment="1" applyProtection="1">
      <alignment horizontal="left" vertical="center" wrapText="1"/>
    </xf>
    <xf numFmtId="0" fontId="26" fillId="8" borderId="114" xfId="0" applyFont="1" applyFill="1" applyBorder="1" applyAlignment="1" applyProtection="1">
      <alignment horizontal="left" wrapText="1"/>
      <protection locked="0"/>
    </xf>
    <xf numFmtId="49" fontId="27" fillId="13" borderId="99" xfId="5" applyNumberFormat="1" applyFont="1" applyFill="1" applyBorder="1" applyAlignment="1" applyProtection="1">
      <alignment horizontal="left" vertical="center" wrapText="1"/>
      <protection locked="0"/>
    </xf>
    <xf numFmtId="49" fontId="23" fillId="13" borderId="99" xfId="5" applyNumberFormat="1" applyFont="1" applyFill="1" applyBorder="1" applyAlignment="1" applyProtection="1">
      <alignment horizontal="left" vertical="center" wrapText="1"/>
      <protection locked="0"/>
    </xf>
    <xf numFmtId="0" fontId="38" fillId="0" borderId="125" xfId="57" applyFont="1" applyBorder="1" applyAlignment="1" applyProtection="1">
      <alignment horizontal="left" vertical="center" wrapText="1"/>
    </xf>
    <xf numFmtId="0" fontId="38" fillId="0" borderId="125" xfId="57" applyFont="1" applyFill="1" applyBorder="1" applyAlignment="1" applyProtection="1">
      <alignment horizontal="left" vertical="center" wrapText="1"/>
    </xf>
    <xf numFmtId="0" fontId="64" fillId="10" borderId="0" xfId="5" applyFont="1" applyFill="1" applyAlignment="1" applyProtection="1">
      <alignment horizontal="center" vertical="center" wrapText="1"/>
    </xf>
    <xf numFmtId="0" fontId="64" fillId="0" borderId="0" xfId="0" applyFont="1" applyAlignment="1" applyProtection="1">
      <alignment horizontal="center" vertical="center"/>
    </xf>
    <xf numFmtId="0" fontId="68" fillId="0" borderId="0" xfId="5" applyFont="1" applyAlignment="1" applyProtection="1">
      <alignment horizontal="center" vertical="center"/>
    </xf>
    <xf numFmtId="0" fontId="64" fillId="10" borderId="0" xfId="0" applyFont="1" applyFill="1" applyAlignment="1" applyProtection="1">
      <alignment horizontal="center" vertical="center" wrapText="1"/>
    </xf>
    <xf numFmtId="0" fontId="38" fillId="0" borderId="0" xfId="57" applyFont="1" applyAlignment="1" applyProtection="1">
      <alignment wrapText="1"/>
    </xf>
    <xf numFmtId="0" fontId="38" fillId="0" borderId="0" xfId="57" applyFont="1" applyFill="1" applyBorder="1" applyAlignment="1" applyProtection="1">
      <alignment wrapText="1"/>
    </xf>
    <xf numFmtId="0" fontId="68" fillId="10" borderId="0" xfId="5" applyFont="1" applyFill="1" applyAlignment="1" applyProtection="1">
      <alignment horizontal="center" vertical="center" wrapText="1"/>
    </xf>
    <xf numFmtId="0" fontId="27" fillId="0" borderId="0" xfId="5" applyFont="1" applyAlignment="1" applyProtection="1">
      <alignment wrapText="1"/>
    </xf>
    <xf numFmtId="0" fontId="27" fillId="0" borderId="0" xfId="5" applyFont="1" applyAlignment="1" applyProtection="1">
      <alignment wrapText="1"/>
      <protection locked="0"/>
    </xf>
    <xf numFmtId="0" fontId="26" fillId="0" borderId="0" xfId="5" applyFont="1" applyAlignment="1" applyProtection="1">
      <alignment wrapText="1"/>
    </xf>
    <xf numFmtId="0" fontId="26" fillId="0" borderId="0" xfId="5" applyFont="1" applyFill="1" applyBorder="1" applyAlignment="1" applyProtection="1">
      <alignment wrapText="1"/>
    </xf>
    <xf numFmtId="0" fontId="64" fillId="0" borderId="0" xfId="0" applyFont="1" applyAlignment="1" applyProtection="1">
      <alignment horizontal="left" vertical="center"/>
    </xf>
    <xf numFmtId="0" fontId="64" fillId="0" borderId="0" xfId="5" applyFont="1" applyAlignment="1" applyProtection="1">
      <alignment horizontal="left" vertical="center"/>
    </xf>
    <xf numFmtId="0" fontId="64" fillId="0" borderId="0" xfId="0" quotePrefix="1" applyFont="1" applyAlignment="1" applyProtection="1">
      <alignment horizontal="center" vertical="center"/>
    </xf>
    <xf numFmtId="15" fontId="23" fillId="6" borderId="1" xfId="0" applyNumberFormat="1" applyFont="1" applyFill="1" applyBorder="1" applyAlignment="1" applyProtection="1">
      <alignment horizontal="left" indent="1"/>
    </xf>
    <xf numFmtId="15" fontId="23" fillId="6" borderId="6" xfId="0" applyNumberFormat="1" applyFont="1" applyFill="1" applyBorder="1" applyAlignment="1" applyProtection="1">
      <alignment horizontal="left" indent="1"/>
    </xf>
    <xf numFmtId="15" fontId="23" fillId="6" borderId="16" xfId="0" applyNumberFormat="1" applyFont="1" applyFill="1" applyBorder="1" applyAlignment="1" applyProtection="1">
      <alignment horizontal="left" indent="1"/>
    </xf>
    <xf numFmtId="0" fontId="78" fillId="19" borderId="1" xfId="58" applyFont="1" applyFill="1" applyBorder="1" applyAlignment="1" applyProtection="1">
      <alignment horizontal="center" vertical="center" wrapText="1"/>
      <protection locked="0"/>
    </xf>
    <xf numFmtId="0" fontId="78" fillId="19" borderId="1" xfId="58" applyFont="1" applyFill="1" applyBorder="1" applyAlignment="1" applyProtection="1">
      <alignment horizontal="center" vertical="top" wrapText="1"/>
      <protection locked="0"/>
    </xf>
    <xf numFmtId="0" fontId="78" fillId="0" borderId="1" xfId="58" applyFont="1" applyBorder="1" applyAlignment="1" applyProtection="1">
      <alignment horizontal="center" vertical="center" wrapText="1"/>
      <protection locked="0"/>
    </xf>
    <xf numFmtId="0" fontId="78" fillId="0" borderId="1" xfId="58" applyFont="1" applyBorder="1" applyAlignment="1" applyProtection="1">
      <alignment horizontal="left" vertical="top" wrapText="1"/>
      <protection locked="0"/>
    </xf>
    <xf numFmtId="0" fontId="27" fillId="0" borderId="1" xfId="58" applyFont="1" applyBorder="1" applyAlignment="1" applyProtection="1">
      <alignment horizontal="left" vertical="top" wrapText="1"/>
      <protection locked="0"/>
    </xf>
    <xf numFmtId="0" fontId="81" fillId="19" borderId="0" xfId="58" applyFont="1" applyFill="1" applyAlignment="1" applyProtection="1">
      <alignment horizontal="center" vertical="center"/>
      <protection locked="0"/>
    </xf>
    <xf numFmtId="0" fontId="3" fillId="0" borderId="0" xfId="58" applyProtection="1">
      <protection locked="0"/>
    </xf>
    <xf numFmtId="165" fontId="27" fillId="12" borderId="125" xfId="0" applyNumberFormat="1" applyFont="1" applyFill="1" applyBorder="1" applyAlignment="1" applyProtection="1">
      <alignment vertical="center"/>
    </xf>
    <xf numFmtId="165" fontId="28" fillId="12" borderId="125" xfId="0" applyNumberFormat="1" applyFont="1" applyFill="1" applyBorder="1" applyAlignment="1" applyProtection="1">
      <alignment vertical="center"/>
    </xf>
    <xf numFmtId="0" fontId="22" fillId="12" borderId="99" xfId="10" applyNumberFormat="1" applyFont="1" applyFill="1" applyBorder="1" applyAlignment="1" applyProtection="1">
      <alignment vertical="center"/>
    </xf>
    <xf numFmtId="0" fontId="42" fillId="16" borderId="33" xfId="0" applyFont="1" applyFill="1" applyBorder="1" applyAlignment="1" applyProtection="1">
      <alignment horizontal="center" vertical="center" wrapText="1"/>
    </xf>
    <xf numFmtId="181" fontId="27" fillId="0" borderId="0" xfId="0" applyNumberFormat="1" applyFont="1" applyBorder="1" applyAlignment="1" applyProtection="1">
      <alignment horizontal="center" vertical="center" wrapText="1"/>
      <protection locked="0"/>
    </xf>
    <xf numFmtId="0" fontId="27" fillId="0" borderId="0" xfId="0" applyFont="1" applyBorder="1" applyAlignment="1" applyProtection="1">
      <alignment horizontal="center" vertical="center" wrapText="1"/>
      <protection locked="0"/>
    </xf>
    <xf numFmtId="181" fontId="27" fillId="0" borderId="0" xfId="0" applyNumberFormat="1" applyFont="1" applyFill="1" applyBorder="1" applyAlignment="1" applyProtection="1">
      <alignment horizontal="center" vertical="center" wrapText="1"/>
      <protection locked="0"/>
    </xf>
    <xf numFmtId="180" fontId="27" fillId="0" borderId="0" xfId="0" applyNumberFormat="1" applyFont="1" applyFill="1" applyBorder="1" applyAlignment="1" applyProtection="1">
      <alignment horizontal="center" vertical="center" wrapText="1"/>
      <protection locked="0"/>
    </xf>
    <xf numFmtId="3" fontId="27" fillId="0" borderId="0" xfId="0" applyNumberFormat="1" applyFont="1" applyFill="1" applyBorder="1" applyAlignment="1" applyProtection="1">
      <alignment horizontal="left" vertical="center" wrapText="1"/>
      <protection locked="0"/>
    </xf>
    <xf numFmtId="9" fontId="27" fillId="8" borderId="0" xfId="0" applyNumberFormat="1" applyFont="1" applyFill="1" applyBorder="1" applyAlignment="1" applyProtection="1">
      <alignment horizontal="center" vertical="center" wrapText="1"/>
    </xf>
    <xf numFmtId="3" fontId="27" fillId="0"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horizontal="left" vertical="center" wrapText="1"/>
      <protection locked="0"/>
    </xf>
    <xf numFmtId="0" fontId="28" fillId="16" borderId="0" xfId="0" applyFont="1" applyFill="1" applyBorder="1" applyAlignment="1" applyProtection="1">
      <alignment horizontal="center" vertical="center"/>
    </xf>
    <xf numFmtId="167" fontId="27" fillId="0" borderId="0" xfId="0" applyNumberFormat="1" applyFont="1" applyFill="1" applyBorder="1" applyAlignment="1" applyProtection="1">
      <alignment horizontal="center" vertical="center" wrapText="1"/>
      <protection locked="0"/>
    </xf>
    <xf numFmtId="177" fontId="27" fillId="8" borderId="0" xfId="0" applyNumberFormat="1" applyFont="1" applyFill="1" applyBorder="1" applyAlignment="1" applyProtection="1">
      <alignment horizontal="center" vertical="center" wrapText="1"/>
    </xf>
    <xf numFmtId="0" fontId="89" fillId="0" borderId="0" xfId="0" applyFont="1"/>
    <xf numFmtId="178" fontId="28" fillId="12" borderId="137" xfId="5" applyNumberFormat="1" applyFont="1" applyFill="1" applyBorder="1" applyAlignment="1" applyProtection="1">
      <alignment vertical="center"/>
    </xf>
    <xf numFmtId="174" fontId="28" fillId="12" borderId="137" xfId="10" applyNumberFormat="1" applyFont="1" applyFill="1" applyBorder="1" applyAlignment="1" applyProtection="1">
      <alignment vertical="center"/>
    </xf>
    <xf numFmtId="0" fontId="26" fillId="0" borderId="139" xfId="5" applyFont="1" applyBorder="1"/>
    <xf numFmtId="0" fontId="64" fillId="9" borderId="138" xfId="5" applyFont="1" applyFill="1" applyBorder="1" applyAlignment="1" applyProtection="1">
      <alignment vertical="center"/>
    </xf>
    <xf numFmtId="0" fontId="64" fillId="9" borderId="140" xfId="5" applyFont="1" applyFill="1" applyBorder="1" applyAlignment="1" applyProtection="1">
      <alignment vertical="center"/>
    </xf>
    <xf numFmtId="178" fontId="22" fillId="12" borderId="140" xfId="5" applyNumberFormat="1" applyFont="1" applyFill="1" applyBorder="1" applyAlignment="1" applyProtection="1">
      <alignment vertical="center"/>
    </xf>
    <xf numFmtId="174" fontId="22" fillId="12" borderId="140" xfId="10" applyNumberFormat="1" applyFont="1" applyFill="1" applyBorder="1" applyAlignment="1" applyProtection="1">
      <alignment vertical="center"/>
    </xf>
    <xf numFmtId="0" fontId="28" fillId="21" borderId="141" xfId="0" applyFont="1" applyFill="1" applyBorder="1" applyAlignment="1" applyProtection="1">
      <alignment vertical="center" wrapText="1"/>
    </xf>
    <xf numFmtId="178" fontId="27" fillId="0" borderId="99" xfId="5" applyNumberFormat="1" applyFont="1" applyFill="1" applyBorder="1" applyAlignment="1" applyProtection="1">
      <alignment vertical="center"/>
      <protection locked="0"/>
    </xf>
    <xf numFmtId="178" fontId="27" fillId="0" borderId="99" xfId="5" applyNumberFormat="1" applyFont="1" applyFill="1" applyBorder="1" applyAlignment="1" applyProtection="1">
      <alignment vertical="center"/>
    </xf>
    <xf numFmtId="174" fontId="27" fillId="0" borderId="99" xfId="10" applyNumberFormat="1" applyFont="1" applyFill="1" applyBorder="1" applyAlignment="1" applyProtection="1">
      <alignment vertical="center"/>
    </xf>
    <xf numFmtId="0" fontId="28" fillId="0" borderId="99" xfId="0" applyFont="1" applyFill="1" applyBorder="1" applyAlignment="1" applyProtection="1">
      <alignment vertical="center" wrapText="1"/>
    </xf>
    <xf numFmtId="0" fontId="28" fillId="0" borderId="114" xfId="0" applyFont="1" applyFill="1" applyBorder="1" applyAlignment="1" applyProtection="1">
      <alignment vertical="center" wrapText="1"/>
    </xf>
    <xf numFmtId="0" fontId="30" fillId="0" borderId="0" xfId="57" applyFont="1" applyFill="1" applyProtection="1"/>
    <xf numFmtId="0" fontId="30" fillId="8" borderId="0" xfId="57" applyFont="1" applyFill="1" applyProtection="1"/>
    <xf numFmtId="0" fontId="30" fillId="0" borderId="0" xfId="57" applyFont="1" applyFill="1" applyAlignment="1" applyProtection="1">
      <alignment vertical="center"/>
    </xf>
    <xf numFmtId="0" fontId="42" fillId="0" borderId="0" xfId="6" applyFont="1" applyFill="1" applyBorder="1" applyAlignment="1" applyProtection="1">
      <alignment horizontal="left" vertical="center"/>
    </xf>
    <xf numFmtId="0" fontId="97" fillId="0" borderId="0" xfId="5" applyFont="1" applyProtection="1"/>
    <xf numFmtId="0" fontId="100" fillId="0" borderId="0" xfId="5" applyFont="1" applyProtection="1">
      <protection locked="0"/>
    </xf>
    <xf numFmtId="0" fontId="100" fillId="0" borderId="33" xfId="5" applyFont="1" applyBorder="1" applyProtection="1">
      <protection locked="0"/>
    </xf>
    <xf numFmtId="0" fontId="100" fillId="0" borderId="0" xfId="5" applyFont="1" applyBorder="1" applyProtection="1">
      <protection locked="0"/>
    </xf>
    <xf numFmtId="0" fontId="100" fillId="0" borderId="0" xfId="5" applyFont="1" applyBorder="1" applyAlignment="1" applyProtection="1">
      <alignment vertical="center"/>
      <protection locked="0"/>
    </xf>
    <xf numFmtId="0" fontId="100" fillId="0" borderId="10" xfId="5" applyFont="1" applyBorder="1" applyProtection="1">
      <protection locked="0"/>
    </xf>
    <xf numFmtId="0" fontId="97" fillId="0" borderId="0" xfId="5" applyFont="1" applyProtection="1">
      <protection locked="0"/>
    </xf>
    <xf numFmtId="0" fontId="94" fillId="0" borderId="0" xfId="57" applyFont="1" applyFill="1" applyProtection="1"/>
    <xf numFmtId="0" fontId="94" fillId="0" borderId="0" xfId="57" applyFont="1" applyFill="1" applyAlignment="1" applyProtection="1">
      <alignment vertical="center"/>
      <protection locked="0"/>
    </xf>
    <xf numFmtId="0" fontId="94" fillId="0" borderId="0" xfId="57" applyFont="1" applyFill="1" applyProtection="1">
      <protection locked="0"/>
    </xf>
    <xf numFmtId="174" fontId="28" fillId="12" borderId="137" xfId="5" applyNumberFormat="1" applyFont="1" applyFill="1" applyBorder="1" applyAlignment="1" applyProtection="1">
      <alignment vertical="center"/>
    </xf>
    <xf numFmtId="0" fontId="22" fillId="6" borderId="23" xfId="0" applyFont="1" applyFill="1" applyBorder="1" applyAlignment="1" applyProtection="1"/>
    <xf numFmtId="178" fontId="23" fillId="12" borderId="121" xfId="0" applyNumberFormat="1" applyFont="1" applyFill="1" applyBorder="1" applyAlignment="1" applyProtection="1">
      <alignment vertical="center"/>
    </xf>
    <xf numFmtId="178" fontId="23" fillId="12" borderId="122" xfId="0" applyNumberFormat="1" applyFont="1" applyFill="1" applyBorder="1" applyAlignment="1" applyProtection="1">
      <alignment vertical="center"/>
    </xf>
    <xf numFmtId="178" fontId="23" fillId="12" borderId="91" xfId="0" applyNumberFormat="1" applyFont="1" applyFill="1" applyBorder="1" applyAlignment="1" applyProtection="1">
      <alignment vertical="center"/>
    </xf>
    <xf numFmtId="178" fontId="22" fillId="12" borderId="66" xfId="0" applyNumberFormat="1" applyFont="1" applyFill="1" applyBorder="1" applyAlignment="1" applyProtection="1">
      <alignment vertical="center"/>
    </xf>
    <xf numFmtId="178" fontId="23" fillId="12" borderId="51" xfId="0" applyNumberFormat="1" applyFont="1" applyFill="1" applyBorder="1" applyAlignment="1" applyProtection="1">
      <alignment vertical="center"/>
    </xf>
    <xf numFmtId="178" fontId="23" fillId="12" borderId="42" xfId="0" applyNumberFormat="1" applyFont="1" applyFill="1" applyBorder="1" applyAlignment="1" applyProtection="1">
      <alignment vertical="center"/>
    </xf>
    <xf numFmtId="178" fontId="23" fillId="12" borderId="53" xfId="0" applyNumberFormat="1" applyFont="1" applyFill="1" applyBorder="1" applyAlignment="1" applyProtection="1">
      <alignment vertical="center"/>
    </xf>
    <xf numFmtId="178" fontId="23" fillId="12" borderId="120" xfId="0" applyNumberFormat="1" applyFont="1" applyFill="1" applyBorder="1" applyAlignment="1" applyProtection="1">
      <alignment vertical="center"/>
    </xf>
    <xf numFmtId="178" fontId="23" fillId="12" borderId="10" xfId="0" applyNumberFormat="1" applyFont="1" applyFill="1" applyBorder="1" applyAlignment="1" applyProtection="1">
      <alignment vertical="center"/>
    </xf>
    <xf numFmtId="178" fontId="23" fillId="12" borderId="79" xfId="0" applyNumberFormat="1" applyFont="1" applyFill="1" applyBorder="1" applyAlignment="1" applyProtection="1">
      <alignment vertical="center"/>
    </xf>
    <xf numFmtId="178" fontId="23" fillId="12" borderId="123" xfId="0" applyNumberFormat="1" applyFont="1" applyFill="1" applyBorder="1" applyAlignment="1" applyProtection="1">
      <alignment vertical="center"/>
    </xf>
    <xf numFmtId="178" fontId="23" fillId="12" borderId="7" xfId="0" applyNumberFormat="1" applyFont="1" applyFill="1" applyBorder="1" applyAlignment="1" applyProtection="1">
      <alignment vertical="center"/>
    </xf>
    <xf numFmtId="178" fontId="23" fillId="9" borderId="1" xfId="0" applyNumberFormat="1" applyFont="1" applyFill="1" applyBorder="1" applyAlignment="1" applyProtection="1">
      <alignment vertical="center"/>
    </xf>
    <xf numFmtId="178" fontId="23" fillId="9" borderId="4" xfId="0" applyNumberFormat="1" applyFont="1" applyFill="1" applyBorder="1" applyAlignment="1" applyProtection="1">
      <alignment vertical="center"/>
    </xf>
    <xf numFmtId="178" fontId="23" fillId="9" borderId="50" xfId="0" applyNumberFormat="1" applyFont="1" applyFill="1" applyBorder="1" applyAlignment="1" applyProtection="1">
      <alignment vertical="center"/>
    </xf>
    <xf numFmtId="178" fontId="23" fillId="12" borderId="81" xfId="0" applyNumberFormat="1" applyFont="1" applyFill="1" applyBorder="1" applyAlignment="1" applyProtection="1">
      <alignment vertical="center"/>
    </xf>
    <xf numFmtId="178" fontId="23" fillId="12" borderId="124" xfId="0" applyNumberFormat="1" applyFont="1" applyFill="1" applyBorder="1" applyAlignment="1" applyProtection="1">
      <alignment vertical="center"/>
    </xf>
    <xf numFmtId="0" fontId="22" fillId="0" borderId="32" xfId="0" applyFont="1" applyFill="1" applyBorder="1" applyAlignment="1" applyProtection="1">
      <alignment horizontal="left" vertical="center" wrapText="1"/>
    </xf>
    <xf numFmtId="0" fontId="22" fillId="6" borderId="32" xfId="0" applyFont="1" applyFill="1" applyBorder="1" applyAlignment="1" applyProtection="1">
      <alignment horizontal="left" vertical="center" wrapText="1"/>
    </xf>
    <xf numFmtId="0" fontId="23" fillId="6" borderId="31" xfId="0" quotePrefix="1" applyFont="1" applyFill="1" applyBorder="1" applyAlignment="1" applyProtection="1">
      <alignment wrapText="1"/>
    </xf>
    <xf numFmtId="0" fontId="23" fillId="6" borderId="25" xfId="0" quotePrefix="1" applyFont="1" applyFill="1" applyBorder="1" applyAlignment="1" applyProtection="1">
      <alignment wrapText="1"/>
    </xf>
    <xf numFmtId="0" fontId="26" fillId="6" borderId="29" xfId="0" applyFont="1" applyFill="1" applyBorder="1" applyAlignment="1" applyProtection="1">
      <alignment horizontal="center" vertical="center"/>
    </xf>
    <xf numFmtId="15" fontId="27" fillId="24" borderId="8" xfId="6" applyNumberFormat="1" applyFont="1" applyFill="1" applyBorder="1" applyAlignment="1" applyProtection="1">
      <alignment vertical="center"/>
    </xf>
    <xf numFmtId="0" fontId="27" fillId="24" borderId="8" xfId="6" applyFont="1" applyFill="1" applyBorder="1" applyAlignment="1" applyProtection="1">
      <alignment horizontal="right" vertical="center"/>
    </xf>
    <xf numFmtId="0" fontId="78" fillId="24" borderId="8" xfId="101" applyFont="1" applyFill="1" applyBorder="1" applyProtection="1"/>
    <xf numFmtId="15" fontId="27" fillId="24" borderId="5" xfId="6" applyNumberFormat="1" applyFont="1" applyFill="1" applyBorder="1" applyAlignment="1" applyProtection="1">
      <alignment vertical="center"/>
    </xf>
    <xf numFmtId="15" fontId="27" fillId="24" borderId="10" xfId="6" applyNumberFormat="1" applyFont="1" applyFill="1" applyBorder="1" applyAlignment="1" applyProtection="1">
      <alignment vertical="center"/>
    </xf>
    <xf numFmtId="0" fontId="27" fillId="24" borderId="10" xfId="6" applyFont="1" applyFill="1" applyBorder="1" applyAlignment="1" applyProtection="1">
      <alignment horizontal="right" vertical="center"/>
    </xf>
    <xf numFmtId="0" fontId="78" fillId="24" borderId="10" xfId="101" applyFont="1" applyFill="1" applyBorder="1" applyProtection="1"/>
    <xf numFmtId="15" fontId="27" fillId="24" borderId="2" xfId="6" applyNumberFormat="1" applyFont="1" applyFill="1" applyBorder="1" applyAlignment="1" applyProtection="1">
      <alignment vertical="center"/>
    </xf>
    <xf numFmtId="0" fontId="32" fillId="24" borderId="40" xfId="6" applyFont="1" applyFill="1" applyBorder="1" applyAlignment="1" applyProtection="1">
      <alignment vertical="center"/>
    </xf>
    <xf numFmtId="0" fontId="32" fillId="24" borderId="33" xfId="6" applyFont="1" applyFill="1" applyBorder="1" applyAlignment="1" applyProtection="1">
      <alignment vertical="center"/>
    </xf>
    <xf numFmtId="0" fontId="32" fillId="24" borderId="44" xfId="6" applyFont="1" applyFill="1" applyBorder="1" applyAlignment="1" applyProtection="1">
      <alignment vertical="center"/>
    </xf>
    <xf numFmtId="178" fontId="23" fillId="12" borderId="132" xfId="0" applyNumberFormat="1" applyFont="1" applyFill="1" applyBorder="1" applyAlignment="1" applyProtection="1">
      <alignment vertical="center"/>
    </xf>
    <xf numFmtId="178" fontId="23" fillId="12" borderId="133" xfId="0" applyNumberFormat="1" applyFont="1" applyFill="1" applyBorder="1" applyAlignment="1" applyProtection="1">
      <alignment vertical="center"/>
    </xf>
    <xf numFmtId="178" fontId="23" fillId="12" borderId="134" xfId="0" applyNumberFormat="1" applyFont="1" applyFill="1" applyBorder="1" applyAlignment="1" applyProtection="1">
      <alignment vertical="center"/>
    </xf>
    <xf numFmtId="178" fontId="23" fillId="12" borderId="135" xfId="0" applyNumberFormat="1" applyFont="1" applyFill="1" applyBorder="1" applyAlignment="1" applyProtection="1">
      <alignment vertical="center"/>
    </xf>
    <xf numFmtId="178" fontId="23" fillId="12" borderId="1" xfId="0" applyNumberFormat="1" applyFont="1" applyFill="1" applyBorder="1" applyAlignment="1" applyProtection="1">
      <alignment vertical="center"/>
    </xf>
    <xf numFmtId="178" fontId="23" fillId="12" borderId="49" xfId="0" applyNumberFormat="1" applyFont="1" applyFill="1" applyBorder="1" applyAlignment="1" applyProtection="1">
      <alignment vertical="center"/>
    </xf>
    <xf numFmtId="178" fontId="23" fillId="12" borderId="3" xfId="0" applyNumberFormat="1" applyFont="1" applyFill="1" applyBorder="1" applyAlignment="1" applyProtection="1">
      <alignment vertical="center"/>
    </xf>
    <xf numFmtId="178" fontId="23" fillId="12" borderId="12" xfId="0" applyNumberFormat="1" applyFont="1" applyFill="1" applyBorder="1" applyAlignment="1" applyProtection="1">
      <alignment vertical="center"/>
    </xf>
    <xf numFmtId="178" fontId="23" fillId="12" borderId="50" xfId="0" applyNumberFormat="1" applyFont="1" applyFill="1" applyBorder="1" applyAlignment="1" applyProtection="1">
      <alignment vertical="center"/>
    </xf>
    <xf numFmtId="178" fontId="23" fillId="12" borderId="4" xfId="0" applyNumberFormat="1" applyFont="1" applyFill="1" applyBorder="1" applyAlignment="1" applyProtection="1">
      <alignment vertical="center"/>
    </xf>
    <xf numFmtId="0" fontId="37" fillId="0" borderId="1" xfId="101" applyFont="1" applyBorder="1" applyProtection="1"/>
    <xf numFmtId="178" fontId="37" fillId="0" borderId="1" xfId="101" applyNumberFormat="1" applyFont="1" applyBorder="1" applyProtection="1"/>
    <xf numFmtId="15" fontId="27" fillId="24" borderId="33" xfId="6" applyNumberFormat="1" applyFont="1" applyFill="1" applyBorder="1" applyAlignment="1" applyProtection="1">
      <alignment vertical="center"/>
    </xf>
    <xf numFmtId="178" fontId="23" fillId="9" borderId="21" xfId="0" applyNumberFormat="1" applyFont="1" applyFill="1" applyBorder="1" applyAlignment="1" applyProtection="1">
      <alignment vertical="center"/>
    </xf>
    <xf numFmtId="178" fontId="23" fillId="9" borderId="71" xfId="0" applyNumberFormat="1" applyFont="1" applyFill="1" applyBorder="1" applyAlignment="1" applyProtection="1">
      <alignment vertical="center"/>
    </xf>
    <xf numFmtId="178" fontId="23" fillId="9" borderId="98" xfId="0" applyNumberFormat="1" applyFont="1" applyFill="1" applyBorder="1" applyAlignment="1" applyProtection="1">
      <alignment vertical="center"/>
    </xf>
    <xf numFmtId="0" fontId="0" fillId="0" borderId="0" xfId="0"/>
    <xf numFmtId="178" fontId="27" fillId="13" borderId="114" xfId="5" applyNumberFormat="1" applyFont="1" applyFill="1" applyBorder="1" applyAlignment="1" applyProtection="1">
      <alignment vertical="center"/>
      <protection locked="0"/>
    </xf>
    <xf numFmtId="49" fontId="23" fillId="13" borderId="114" xfId="5" applyNumberFormat="1" applyFont="1" applyFill="1" applyBorder="1" applyAlignment="1" applyProtection="1">
      <alignment horizontal="left" vertical="center" wrapText="1"/>
      <protection locked="0"/>
    </xf>
    <xf numFmtId="0" fontId="60" fillId="0" borderId="0" xfId="103" applyFont="1" applyAlignment="1" applyProtection="1">
      <alignment vertical="center"/>
    </xf>
    <xf numFmtId="178" fontId="28" fillId="6" borderId="86" xfId="103" applyNumberFormat="1" applyFont="1" applyFill="1" applyBorder="1" applyAlignment="1" applyProtection="1">
      <alignment vertical="center" wrapText="1"/>
    </xf>
    <xf numFmtId="0" fontId="28" fillId="6" borderId="86" xfId="103" applyFont="1" applyFill="1" applyBorder="1" applyAlignment="1" applyProtection="1">
      <alignment vertical="center" wrapText="1"/>
    </xf>
    <xf numFmtId="164" fontId="27" fillId="12" borderId="13" xfId="103" applyNumberFormat="1" applyFont="1" applyFill="1" applyBorder="1" applyAlignment="1" applyProtection="1">
      <alignment vertical="center"/>
    </xf>
    <xf numFmtId="178" fontId="27" fillId="13" borderId="142" xfId="5" applyNumberFormat="1" applyFont="1" applyFill="1" applyBorder="1" applyAlignment="1" applyProtection="1">
      <alignment vertical="center"/>
      <protection locked="0"/>
    </xf>
    <xf numFmtId="49" fontId="23" fillId="13" borderId="119" xfId="5" applyNumberFormat="1" applyFont="1" applyFill="1" applyBorder="1" applyAlignment="1" applyProtection="1">
      <alignment horizontal="left" vertical="center" wrapText="1"/>
      <protection locked="0"/>
    </xf>
    <xf numFmtId="164" fontId="27" fillId="12" borderId="1" xfId="103" applyNumberFormat="1" applyFont="1" applyFill="1" applyBorder="1" applyAlignment="1" applyProtection="1">
      <alignment vertical="center"/>
    </xf>
    <xf numFmtId="183" fontId="23" fillId="13" borderId="114" xfId="103" applyNumberFormat="1" applyFont="1" applyFill="1" applyBorder="1" applyAlignment="1" applyProtection="1">
      <alignment vertical="center"/>
      <protection locked="0"/>
    </xf>
    <xf numFmtId="178" fontId="27" fillId="13" borderId="143" xfId="5" applyNumberFormat="1" applyFont="1" applyFill="1" applyBorder="1" applyAlignment="1" applyProtection="1">
      <alignment vertical="center"/>
      <protection locked="0"/>
    </xf>
    <xf numFmtId="0" fontId="28" fillId="25" borderId="84" xfId="103" applyFont="1" applyFill="1" applyBorder="1" applyAlignment="1" applyProtection="1">
      <alignment horizontal="center" vertical="center" wrapText="1"/>
    </xf>
    <xf numFmtId="0" fontId="28" fillId="25" borderId="131" xfId="103" applyFont="1" applyFill="1" applyBorder="1" applyAlignment="1" applyProtection="1">
      <alignment horizontal="center" vertical="center" wrapText="1"/>
    </xf>
    <xf numFmtId="0" fontId="28" fillId="25" borderId="1" xfId="103" applyFont="1" applyFill="1" applyBorder="1" applyAlignment="1" applyProtection="1">
      <alignment horizontal="center" vertical="center" wrapText="1"/>
    </xf>
    <xf numFmtId="0" fontId="28" fillId="16" borderId="13" xfId="103" applyFont="1" applyFill="1" applyBorder="1" applyAlignment="1" applyProtection="1">
      <alignment horizontal="center" vertical="center" wrapText="1"/>
    </xf>
    <xf numFmtId="0" fontId="28" fillId="16" borderId="1" xfId="103" applyFont="1" applyFill="1" applyBorder="1" applyAlignment="1" applyProtection="1">
      <alignment horizontal="center" vertical="center" wrapText="1"/>
    </xf>
    <xf numFmtId="0" fontId="28" fillId="4" borderId="76" xfId="103" applyFont="1" applyFill="1" applyBorder="1" applyAlignment="1" applyProtection="1">
      <alignment horizontal="center" vertical="center" wrapText="1"/>
    </xf>
    <xf numFmtId="0" fontId="28" fillId="4" borderId="4" xfId="103" applyFont="1" applyFill="1" applyBorder="1" applyAlignment="1" applyProtection="1">
      <alignment horizontal="center" vertical="center" wrapText="1"/>
    </xf>
    <xf numFmtId="0" fontId="27" fillId="6" borderId="61" xfId="0" applyFont="1" applyFill="1" applyBorder="1" applyAlignment="1" applyProtection="1">
      <alignment vertical="center"/>
      <protection locked="0"/>
    </xf>
    <xf numFmtId="0" fontId="27" fillId="0" borderId="10" xfId="5" applyFont="1" applyFill="1" applyBorder="1" applyProtection="1"/>
    <xf numFmtId="0" fontId="27" fillId="0" borderId="144" xfId="5" applyFont="1" applyBorder="1" applyProtection="1">
      <protection locked="0"/>
    </xf>
    <xf numFmtId="0" fontId="28" fillId="21" borderId="140" xfId="0" applyFont="1" applyFill="1" applyBorder="1" applyAlignment="1" applyProtection="1">
      <alignment vertical="center" wrapText="1"/>
    </xf>
    <xf numFmtId="178" fontId="28" fillId="12" borderId="140" xfId="5" applyNumberFormat="1" applyFont="1" applyFill="1" applyBorder="1" applyAlignment="1" applyProtection="1">
      <alignment vertical="center"/>
    </xf>
    <xf numFmtId="174" fontId="28" fillId="12" borderId="140" xfId="10" applyNumberFormat="1" applyFont="1" applyFill="1" applyBorder="1" applyAlignment="1" applyProtection="1">
      <alignment vertical="center"/>
    </xf>
    <xf numFmtId="0" fontId="27" fillId="0" borderId="102" xfId="5" applyFont="1" applyFill="1" applyBorder="1" applyAlignment="1" applyProtection="1">
      <alignment horizontal="left" vertical="top"/>
    </xf>
    <xf numFmtId="0" fontId="27" fillId="0" borderId="99" xfId="5" applyFont="1" applyFill="1" applyBorder="1" applyAlignment="1" applyProtection="1">
      <alignment horizontal="left" vertical="top"/>
    </xf>
    <xf numFmtId="49" fontId="78" fillId="0" borderId="99" xfId="5" applyNumberFormat="1" applyFont="1" applyFill="1" applyBorder="1" applyAlignment="1" applyProtection="1">
      <alignment horizontal="left" vertical="center" wrapText="1"/>
      <protection locked="0"/>
    </xf>
    <xf numFmtId="0" fontId="31" fillId="0" borderId="11" xfId="5" applyFont="1" applyBorder="1"/>
    <xf numFmtId="0" fontId="22" fillId="12" borderId="140" xfId="10" applyNumberFormat="1" applyFont="1" applyFill="1" applyBorder="1" applyAlignment="1" applyProtection="1">
      <alignment vertical="center"/>
    </xf>
    <xf numFmtId="0" fontId="97" fillId="26" borderId="0" xfId="5" applyFont="1" applyFill="1" applyBorder="1" applyAlignment="1">
      <alignment vertical="center"/>
    </xf>
    <xf numFmtId="0" fontId="97" fillId="26" borderId="0" xfId="5" applyFont="1" applyFill="1" applyAlignment="1">
      <alignment vertical="center"/>
    </xf>
    <xf numFmtId="0" fontId="97" fillId="26" borderId="0" xfId="5" applyFont="1" applyFill="1" applyBorder="1"/>
    <xf numFmtId="0" fontId="97" fillId="26" borderId="0" xfId="5" applyFont="1" applyFill="1"/>
    <xf numFmtId="0" fontId="97" fillId="26" borderId="10" xfId="5" applyFont="1" applyFill="1" applyBorder="1"/>
    <xf numFmtId="0" fontId="97" fillId="26" borderId="33" xfId="5" applyFont="1" applyFill="1" applyBorder="1"/>
    <xf numFmtId="0" fontId="90" fillId="0" borderId="0" xfId="5" applyFont="1" applyAlignment="1" applyProtection="1">
      <alignment vertical="center"/>
      <protection locked="0"/>
    </xf>
    <xf numFmtId="0" fontId="90" fillId="0" borderId="0" xfId="5" applyFont="1" applyProtection="1">
      <protection locked="0"/>
    </xf>
    <xf numFmtId="0" fontId="28" fillId="9" borderId="145" xfId="5" applyFont="1" applyFill="1" applyBorder="1" applyAlignment="1" applyProtection="1">
      <alignment vertical="top" wrapText="1"/>
    </xf>
    <xf numFmtId="0" fontId="27" fillId="13" borderId="102" xfId="5" applyFont="1" applyFill="1" applyBorder="1" applyAlignment="1" applyProtection="1">
      <alignment vertical="top" wrapText="1"/>
      <protection locked="0"/>
    </xf>
    <xf numFmtId="0" fontId="2" fillId="0" borderId="0" xfId="103" applyAlignment="1" applyProtection="1">
      <alignment horizontal="center"/>
      <protection locked="0"/>
    </xf>
    <xf numFmtId="0" fontId="2" fillId="0" borderId="1" xfId="103" applyBorder="1" applyProtection="1">
      <protection locked="0"/>
    </xf>
    <xf numFmtId="0" fontId="64" fillId="10" borderId="0" xfId="0" applyFont="1" applyFill="1" applyAlignment="1" applyProtection="1">
      <alignment vertical="center" wrapText="1"/>
    </xf>
    <xf numFmtId="0" fontId="64" fillId="0" borderId="0" xfId="5" applyFont="1" applyBorder="1" applyAlignment="1" applyProtection="1">
      <alignment horizontal="center"/>
    </xf>
    <xf numFmtId="0" fontId="64" fillId="0" borderId="10" xfId="5" applyFont="1" applyBorder="1" applyAlignment="1" applyProtection="1">
      <alignment horizontal="center"/>
    </xf>
    <xf numFmtId="0" fontId="64" fillId="10" borderId="0" xfId="0" applyFont="1" applyFill="1" applyAlignment="1" applyProtection="1">
      <alignment horizontal="center" vertical="center" wrapText="1"/>
    </xf>
    <xf numFmtId="0" fontId="68" fillId="0" borderId="10" xfId="5" applyFont="1" applyBorder="1" applyAlignment="1" applyProtection="1">
      <alignment horizontal="center"/>
    </xf>
    <xf numFmtId="0" fontId="27" fillId="0" borderId="114" xfId="5" applyFont="1" applyFill="1" applyBorder="1" applyAlignment="1" applyProtection="1">
      <alignment vertical="center"/>
      <protection locked="0"/>
    </xf>
    <xf numFmtId="0" fontId="100" fillId="0" borderId="0" xfId="5" applyFont="1" applyProtection="1"/>
    <xf numFmtId="0" fontId="90" fillId="0" borderId="0" xfId="5" applyFont="1" applyProtection="1"/>
    <xf numFmtId="0" fontId="90" fillId="0" borderId="0" xfId="5" applyFont="1" applyAlignment="1" applyProtection="1">
      <alignment vertical="center"/>
    </xf>
    <xf numFmtId="0" fontId="100" fillId="0" borderId="0" xfId="5" applyFont="1" applyBorder="1" applyProtection="1"/>
    <xf numFmtId="0" fontId="100" fillId="0" borderId="0" xfId="5" applyFont="1" applyBorder="1" applyAlignment="1" applyProtection="1">
      <alignment vertical="center"/>
    </xf>
    <xf numFmtId="0" fontId="100" fillId="0" borderId="0" xfId="5" applyFont="1" applyAlignment="1" applyProtection="1">
      <alignment vertical="center"/>
    </xf>
    <xf numFmtId="0" fontId="27" fillId="0" borderId="0" xfId="5" applyFont="1" applyAlignment="1" applyProtection="1">
      <alignment vertical="center"/>
    </xf>
    <xf numFmtId="0" fontId="58" fillId="0" borderId="33" xfId="5" applyFont="1" applyBorder="1"/>
    <xf numFmtId="0" fontId="58" fillId="0" borderId="0" xfId="5" applyFont="1" applyBorder="1"/>
    <xf numFmtId="0" fontId="58" fillId="0" borderId="0" xfId="5" applyFont="1"/>
    <xf numFmtId="0" fontId="58" fillId="0" borderId="0" xfId="5" applyFont="1" applyBorder="1" applyAlignment="1">
      <alignment vertical="center"/>
    </xf>
    <xf numFmtId="0" fontId="58" fillId="0" borderId="0" xfId="5" applyFont="1" applyAlignment="1">
      <alignment vertical="center"/>
    </xf>
    <xf numFmtId="0" fontId="58" fillId="0" borderId="116" xfId="5" applyFont="1" applyBorder="1"/>
    <xf numFmtId="0" fontId="58" fillId="0" borderId="10" xfId="5" applyFont="1" applyBorder="1"/>
    <xf numFmtId="0" fontId="97" fillId="0" borderId="0" xfId="5" applyFont="1" applyBorder="1"/>
    <xf numFmtId="0" fontId="97" fillId="0" borderId="0" xfId="5" applyFont="1"/>
    <xf numFmtId="0" fontId="97" fillId="0" borderId="0" xfId="5" applyFont="1" applyAlignment="1">
      <alignment vertical="center"/>
    </xf>
    <xf numFmtId="0" fontId="100" fillId="0" borderId="0" xfId="5" applyFont="1" applyBorder="1" applyAlignment="1" applyProtection="1">
      <alignment vertical="center" wrapText="1"/>
    </xf>
    <xf numFmtId="1" fontId="100" fillId="0" borderId="0" xfId="5" applyNumberFormat="1" applyFont="1" applyBorder="1" applyProtection="1"/>
    <xf numFmtId="0" fontId="26" fillId="24" borderId="7" xfId="0" applyFont="1" applyFill="1" applyBorder="1" applyProtection="1"/>
    <xf numFmtId="0" fontId="26" fillId="24" borderId="10" xfId="0" applyFont="1" applyFill="1" applyBorder="1" applyProtection="1"/>
    <xf numFmtId="0" fontId="26" fillId="24" borderId="67" xfId="0" applyFont="1" applyFill="1" applyBorder="1" applyProtection="1"/>
    <xf numFmtId="0" fontId="42" fillId="0" borderId="0" xfId="0" applyFont="1" applyBorder="1" applyProtection="1"/>
    <xf numFmtId="0" fontId="35" fillId="0" borderId="0" xfId="0" applyFont="1" applyBorder="1" applyProtection="1"/>
    <xf numFmtId="0" fontId="35" fillId="6" borderId="0" xfId="0" applyFont="1" applyFill="1" applyAlignment="1" applyProtection="1">
      <alignment horizontal="center" vertical="center"/>
    </xf>
    <xf numFmtId="0" fontId="35" fillId="6" borderId="0" xfId="0" applyFont="1" applyFill="1" applyBorder="1" applyAlignment="1" applyProtection="1">
      <alignment horizontal="center" vertical="center"/>
    </xf>
    <xf numFmtId="0" fontId="28" fillId="12" borderId="21" xfId="0" applyFont="1" applyFill="1" applyBorder="1" applyAlignment="1" applyProtection="1">
      <alignment horizontal="center"/>
    </xf>
    <xf numFmtId="0" fontId="35" fillId="0" borderId="0" xfId="0" applyFont="1" applyBorder="1" applyAlignment="1" applyProtection="1">
      <alignment horizontal="center"/>
    </xf>
    <xf numFmtId="0" fontId="28" fillId="12" borderId="1" xfId="0" applyFont="1" applyFill="1" applyBorder="1" applyAlignment="1" applyProtection="1">
      <alignment horizontal="center"/>
    </xf>
    <xf numFmtId="0" fontId="22" fillId="0" borderId="43" xfId="0" applyFont="1" applyBorder="1" applyAlignment="1" applyProtection="1">
      <alignment wrapText="1"/>
    </xf>
    <xf numFmtId="0" fontId="26" fillId="12" borderId="49" xfId="0" applyFont="1" applyFill="1" applyBorder="1" applyAlignment="1" applyProtection="1">
      <alignment horizontal="center" wrapText="1"/>
    </xf>
    <xf numFmtId="0" fontId="26" fillId="12" borderId="3" xfId="0" applyFont="1" applyFill="1" applyBorder="1" applyAlignment="1" applyProtection="1">
      <alignment horizontal="center" wrapText="1"/>
    </xf>
    <xf numFmtId="0" fontId="26" fillId="7" borderId="44" xfId="0" applyFont="1" applyFill="1" applyBorder="1" applyAlignment="1" applyProtection="1">
      <alignment wrapText="1"/>
    </xf>
    <xf numFmtId="0" fontId="26" fillId="7" borderId="61" xfId="0" applyFont="1" applyFill="1" applyBorder="1" applyProtection="1"/>
    <xf numFmtId="0" fontId="22" fillId="0" borderId="88" xfId="0" applyFont="1" applyBorder="1" applyAlignment="1" applyProtection="1">
      <alignment wrapText="1"/>
    </xf>
    <xf numFmtId="178" fontId="26" fillId="6" borderId="0" xfId="0" applyNumberFormat="1" applyFont="1" applyFill="1" applyProtection="1"/>
    <xf numFmtId="0" fontId="22" fillId="0" borderId="88" xfId="0" applyFont="1" applyFill="1" applyBorder="1" applyAlignment="1" applyProtection="1">
      <alignment wrapText="1"/>
    </xf>
    <xf numFmtId="0" fontId="26" fillId="22" borderId="1" xfId="0" applyFont="1" applyFill="1" applyBorder="1" applyProtection="1"/>
    <xf numFmtId="0" fontId="26" fillId="22" borderId="4" xfId="0" applyFont="1" applyFill="1" applyBorder="1" applyProtection="1"/>
    <xf numFmtId="0" fontId="26" fillId="22" borderId="50" xfId="0" applyFont="1" applyFill="1" applyBorder="1" applyProtection="1"/>
    <xf numFmtId="0" fontId="26" fillId="6" borderId="0" xfId="0" applyFont="1" applyFill="1" applyAlignment="1" applyProtection="1">
      <alignment wrapText="1"/>
    </xf>
    <xf numFmtId="0" fontId="26" fillId="6" borderId="0" xfId="0" applyFont="1" applyFill="1" applyAlignment="1" applyProtection="1">
      <alignment vertical="center" wrapText="1"/>
    </xf>
    <xf numFmtId="0" fontId="26" fillId="6" borderId="9" xfId="0" applyFont="1" applyFill="1" applyBorder="1" applyAlignment="1" applyProtection="1">
      <alignment vertical="center" wrapText="1"/>
    </xf>
    <xf numFmtId="0" fontId="26" fillId="22" borderId="21" xfId="0" applyFont="1" applyFill="1" applyBorder="1" applyProtection="1"/>
    <xf numFmtId="0" fontId="26" fillId="22" borderId="71" xfId="0" applyFont="1" applyFill="1" applyBorder="1" applyProtection="1"/>
    <xf numFmtId="0" fontId="26" fillId="22" borderId="98" xfId="0" applyFont="1" applyFill="1" applyBorder="1" applyProtection="1"/>
    <xf numFmtId="0" fontId="22" fillId="0" borderId="41" xfId="0" applyFont="1" applyFill="1" applyBorder="1" applyAlignment="1" applyProtection="1">
      <alignment wrapText="1"/>
    </xf>
    <xf numFmtId="178" fontId="31" fillId="6" borderId="0" xfId="0" applyNumberFormat="1" applyFont="1" applyFill="1" applyProtection="1"/>
    <xf numFmtId="0" fontId="35" fillId="6" borderId="0" xfId="0" applyFont="1" applyFill="1" applyBorder="1" applyAlignment="1" applyProtection="1">
      <alignment wrapText="1"/>
    </xf>
    <xf numFmtId="178" fontId="26" fillId="6" borderId="0" xfId="0" applyNumberFormat="1" applyFont="1" applyFill="1" applyBorder="1" applyProtection="1"/>
    <xf numFmtId="0" fontId="35" fillId="6" borderId="0" xfId="0" applyFont="1" applyFill="1" applyAlignment="1" applyProtection="1">
      <alignment horizontal="center"/>
    </xf>
    <xf numFmtId="0" fontId="22" fillId="0" borderId="40" xfId="0" applyFont="1" applyFill="1" applyBorder="1" applyAlignment="1" applyProtection="1">
      <alignment wrapText="1"/>
    </xf>
    <xf numFmtId="0" fontId="22" fillId="0" borderId="11" xfId="0" applyFont="1" applyFill="1" applyBorder="1" applyAlignment="1" applyProtection="1">
      <alignment wrapText="1"/>
    </xf>
    <xf numFmtId="0" fontId="35" fillId="6" borderId="0" xfId="0" applyFont="1" applyFill="1" applyProtection="1"/>
    <xf numFmtId="0" fontId="26" fillId="6" borderId="0" xfId="0" quotePrefix="1" applyFont="1" applyFill="1" applyProtection="1"/>
    <xf numFmtId="0" fontId="42" fillId="23" borderId="21" xfId="0" applyFont="1" applyFill="1" applyBorder="1" applyAlignment="1" applyProtection="1">
      <alignment horizontal="center"/>
    </xf>
    <xf numFmtId="0" fontId="35" fillId="0" borderId="0" xfId="0" applyFont="1" applyFill="1" applyBorder="1" applyAlignment="1" applyProtection="1">
      <alignment horizontal="center"/>
    </xf>
    <xf numFmtId="0" fontId="26" fillId="7" borderId="12" xfId="0" applyFont="1" applyFill="1" applyBorder="1" applyAlignment="1" applyProtection="1">
      <alignment wrapText="1"/>
    </xf>
    <xf numFmtId="0" fontId="62" fillId="0" borderId="0" xfId="0" applyFont="1" applyProtection="1"/>
    <xf numFmtId="176" fontId="23" fillId="13" borderId="97" xfId="0" applyNumberFormat="1" applyFont="1" applyFill="1" applyBorder="1" applyAlignment="1" applyProtection="1">
      <alignment horizontal="right"/>
    </xf>
    <xf numFmtId="175" fontId="23" fillId="16" borderId="35" xfId="0" applyNumberFormat="1" applyFont="1" applyFill="1" applyBorder="1" applyAlignment="1" applyProtection="1">
      <alignment horizontal="right"/>
    </xf>
    <xf numFmtId="176" fontId="23" fillId="13" borderId="35" xfId="0" applyNumberFormat="1" applyFont="1" applyFill="1" applyBorder="1" applyAlignment="1" applyProtection="1">
      <alignment horizontal="right"/>
    </xf>
    <xf numFmtId="0" fontId="58" fillId="6" borderId="0" xfId="0" applyFont="1" applyFill="1" applyProtection="1"/>
    <xf numFmtId="178" fontId="23" fillId="13" borderId="121" xfId="0" applyNumberFormat="1" applyFont="1" applyFill="1" applyBorder="1" applyAlignment="1" applyProtection="1">
      <alignment vertical="center"/>
      <protection locked="0"/>
    </xf>
    <xf numFmtId="49" fontId="0" fillId="0" borderId="0" xfId="0" applyNumberFormat="1"/>
    <xf numFmtId="49" fontId="31" fillId="2" borderId="0" xfId="0" applyNumberFormat="1" applyFont="1" applyFill="1" applyProtection="1"/>
    <xf numFmtId="49" fontId="31" fillId="2" borderId="0" xfId="0" applyNumberFormat="1" applyFont="1" applyFill="1" applyProtection="1">
      <protection hidden="1"/>
    </xf>
    <xf numFmtId="49" fontId="23" fillId="8" borderId="1" xfId="0" applyNumberFormat="1" applyFont="1" applyFill="1" applyBorder="1" applyAlignment="1" applyProtection="1">
      <alignment horizontal="left" vertical="center" indent="1"/>
    </xf>
    <xf numFmtId="49" fontId="23" fillId="8" borderId="1" xfId="0" applyNumberFormat="1" applyFont="1" applyFill="1" applyBorder="1" applyAlignment="1" applyProtection="1">
      <alignment horizontal="left" vertical="center" wrapText="1" indent="1"/>
    </xf>
    <xf numFmtId="49" fontId="23" fillId="8" borderId="1" xfId="0" applyNumberFormat="1" applyFont="1" applyFill="1" applyBorder="1" applyAlignment="1" applyProtection="1">
      <alignment horizontal="left" vertical="center" wrapText="1" indent="1"/>
      <protection locked="0"/>
    </xf>
    <xf numFmtId="49" fontId="22" fillId="8" borderId="1" xfId="0" applyNumberFormat="1" applyFont="1" applyFill="1" applyBorder="1" applyAlignment="1" applyProtection="1">
      <alignment horizontal="left" vertical="center" indent="1"/>
    </xf>
    <xf numFmtId="15" fontId="97" fillId="2" borderId="0" xfId="0" applyNumberFormat="1" applyFont="1" applyFill="1" applyProtection="1">
      <protection hidden="1"/>
    </xf>
    <xf numFmtId="15" fontId="97" fillId="2" borderId="0" xfId="0" applyNumberFormat="1" applyFont="1" applyFill="1" applyProtection="1"/>
    <xf numFmtId="184" fontId="15" fillId="0" borderId="0" xfId="5" applyNumberFormat="1"/>
    <xf numFmtId="49" fontId="15" fillId="0" borderId="0" xfId="5" applyNumberFormat="1"/>
    <xf numFmtId="15" fontId="15" fillId="0" borderId="0" xfId="5" applyNumberFormat="1"/>
    <xf numFmtId="49" fontId="27" fillId="0" borderId="114"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left" vertical="center" wrapText="1"/>
    </xf>
    <xf numFmtId="49" fontId="42" fillId="16" borderId="33" xfId="0" applyNumberFormat="1" applyFont="1" applyFill="1" applyBorder="1" applyAlignment="1" applyProtection="1">
      <alignment horizontal="center" vertical="center" wrapText="1"/>
    </xf>
    <xf numFmtId="49" fontId="28" fillId="16" borderId="0" xfId="0" applyNumberFormat="1" applyFont="1" applyFill="1" applyBorder="1" applyAlignment="1" applyProtection="1">
      <alignment horizontal="center" vertical="center" wrapText="1"/>
    </xf>
    <xf numFmtId="49" fontId="26" fillId="2" borderId="114" xfId="0" applyNumberFormat="1" applyFont="1" applyFill="1" applyBorder="1" applyAlignment="1" applyProtection="1">
      <alignment wrapText="1"/>
      <protection locked="0"/>
    </xf>
    <xf numFmtId="49" fontId="27" fillId="0" borderId="106" xfId="0" applyNumberFormat="1" applyFont="1" applyFill="1" applyBorder="1" applyAlignment="1" applyProtection="1">
      <alignment horizontal="center" vertical="center" wrapText="1"/>
      <protection locked="0"/>
    </xf>
    <xf numFmtId="49" fontId="23" fillId="0" borderId="39" xfId="0" applyNumberFormat="1" applyFont="1" applyFill="1" applyBorder="1" applyAlignment="1" applyProtection="1">
      <alignment horizontal="center" vertical="center" wrapText="1"/>
      <protection locked="0"/>
    </xf>
    <xf numFmtId="49" fontId="23" fillId="0" borderId="1" xfId="0" applyNumberFormat="1" applyFont="1" applyFill="1" applyBorder="1" applyAlignment="1" applyProtection="1">
      <alignment horizontal="center" vertical="center" wrapText="1"/>
      <protection locked="0"/>
    </xf>
    <xf numFmtId="49" fontId="23" fillId="0" borderId="42" xfId="0" applyNumberFormat="1" applyFont="1" applyFill="1" applyBorder="1" applyAlignment="1" applyProtection="1">
      <alignment horizontal="center" vertical="center" wrapText="1"/>
      <protection locked="0"/>
    </xf>
    <xf numFmtId="49" fontId="40" fillId="2" borderId="0" xfId="0" applyNumberFormat="1" applyFont="1" applyFill="1" applyBorder="1" applyAlignment="1" applyProtection="1">
      <alignment horizontal="left"/>
    </xf>
    <xf numFmtId="49" fontId="40" fillId="2" borderId="33" xfId="0" applyNumberFormat="1" applyFont="1" applyFill="1" applyBorder="1" applyAlignment="1" applyProtection="1">
      <alignment horizontal="left"/>
    </xf>
    <xf numFmtId="49" fontId="28" fillId="4" borderId="0" xfId="0" applyNumberFormat="1" applyFont="1" applyFill="1" applyBorder="1" applyAlignment="1" applyProtection="1">
      <alignment horizontal="center" vertical="center" wrapText="1"/>
    </xf>
    <xf numFmtId="49" fontId="27" fillId="0" borderId="114" xfId="0" applyNumberFormat="1" applyFont="1" applyFill="1" applyBorder="1" applyAlignment="1" applyProtection="1">
      <alignment horizontal="left" vertical="center" wrapText="1"/>
      <protection locked="0"/>
    </xf>
    <xf numFmtId="0" fontId="15" fillId="0" borderId="114" xfId="5" applyFill="1" applyBorder="1"/>
    <xf numFmtId="49" fontId="15" fillId="0" borderId="114" xfId="5" applyNumberFormat="1" applyFill="1" applyBorder="1"/>
    <xf numFmtId="0" fontId="27" fillId="8" borderId="0" xfId="0" quotePrefix="1" applyNumberFormat="1" applyFont="1" applyFill="1" applyBorder="1" applyAlignment="1" applyProtection="1">
      <alignment horizontal="left" vertical="center" wrapText="1"/>
    </xf>
    <xf numFmtId="0" fontId="28" fillId="4" borderId="114" xfId="0" applyFont="1" applyFill="1" applyBorder="1" applyAlignment="1" applyProtection="1">
      <alignment horizontal="center" vertical="center"/>
    </xf>
    <xf numFmtId="49" fontId="27" fillId="8" borderId="114" xfId="0" applyNumberFormat="1" applyFont="1" applyFill="1" applyBorder="1" applyAlignment="1" applyProtection="1">
      <alignment vertical="center" wrapText="1"/>
    </xf>
    <xf numFmtId="49" fontId="27" fillId="8" borderId="114" xfId="0" applyNumberFormat="1" applyFont="1" applyFill="1" applyBorder="1" applyAlignment="1" applyProtection="1">
      <alignment horizontal="left" vertical="center" wrapText="1"/>
    </xf>
    <xf numFmtId="181" fontId="27" fillId="8" borderId="114" xfId="0" applyNumberFormat="1" applyFont="1" applyFill="1" applyBorder="1" applyAlignment="1" applyProtection="1">
      <alignment horizontal="left" vertical="center" wrapText="1"/>
    </xf>
    <xf numFmtId="180" fontId="27" fillId="8" borderId="114" xfId="0" applyNumberFormat="1" applyFont="1" applyFill="1" applyBorder="1" applyAlignment="1" applyProtection="1">
      <alignment horizontal="left" vertical="center" wrapText="1"/>
    </xf>
    <xf numFmtId="171" fontId="27" fillId="8" borderId="114" xfId="0" applyNumberFormat="1" applyFont="1" applyFill="1" applyBorder="1" applyAlignment="1" applyProtection="1">
      <alignment horizontal="left" vertical="center" wrapText="1"/>
    </xf>
    <xf numFmtId="181" fontId="27" fillId="0" borderId="114" xfId="7" applyNumberFormat="1" applyFont="1" applyFill="1" applyBorder="1" applyAlignment="1" applyProtection="1">
      <alignment horizontal="center" vertical="center" wrapText="1"/>
      <protection locked="0"/>
    </xf>
    <xf numFmtId="180" fontId="27" fillId="0" borderId="114" xfId="7" applyNumberFormat="1" applyFont="1" applyFill="1" applyBorder="1" applyAlignment="1" applyProtection="1">
      <alignment horizontal="center" vertical="center" wrapText="1"/>
      <protection locked="0"/>
    </xf>
    <xf numFmtId="3" fontId="27" fillId="0" borderId="114" xfId="0" applyNumberFormat="1" applyFont="1" applyFill="1" applyBorder="1" applyAlignment="1" applyProtection="1">
      <alignment horizontal="left" vertical="center" wrapText="1"/>
      <protection locked="0"/>
    </xf>
    <xf numFmtId="3" fontId="27" fillId="2" borderId="114" xfId="0" applyNumberFormat="1" applyFont="1" applyFill="1" applyBorder="1" applyAlignment="1" applyProtection="1">
      <alignment horizontal="center" vertical="center" wrapText="1"/>
      <protection locked="0"/>
    </xf>
    <xf numFmtId="181" fontId="27" fillId="0" borderId="114" xfId="0" applyNumberFormat="1" applyFont="1" applyBorder="1" applyAlignment="1" applyProtection="1">
      <alignment horizontal="center" vertical="center" wrapText="1"/>
      <protection locked="0"/>
    </xf>
    <xf numFmtId="180" fontId="27" fillId="0" borderId="114" xfId="0" applyNumberFormat="1" applyFont="1" applyBorder="1" applyAlignment="1" applyProtection="1">
      <alignment horizontal="center" vertical="center" wrapText="1"/>
      <protection locked="0"/>
    </xf>
    <xf numFmtId="0" fontId="27" fillId="6" borderId="114" xfId="0" applyNumberFormat="1" applyFont="1" applyFill="1" applyBorder="1" applyAlignment="1" applyProtection="1">
      <alignment horizontal="left" vertical="center" wrapText="1"/>
      <protection locked="0"/>
    </xf>
    <xf numFmtId="49" fontId="27" fillId="6" borderId="114" xfId="0" applyNumberFormat="1" applyFont="1" applyFill="1" applyBorder="1" applyAlignment="1" applyProtection="1">
      <alignment horizontal="left" vertical="center" wrapText="1"/>
      <protection locked="0"/>
    </xf>
    <xf numFmtId="49" fontId="27" fillId="6" borderId="114" xfId="0" applyNumberFormat="1" applyFont="1" applyFill="1" applyBorder="1" applyAlignment="1" applyProtection="1">
      <alignment horizontal="left" vertical="center" wrapText="1"/>
    </xf>
    <xf numFmtId="0" fontId="26" fillId="2" borderId="114" xfId="0" applyFont="1" applyFill="1" applyBorder="1" applyAlignment="1" applyProtection="1">
      <alignment vertical="center" wrapText="1"/>
    </xf>
    <xf numFmtId="0" fontId="31" fillId="2" borderId="114" xfId="0" applyFont="1" applyFill="1" applyBorder="1" applyAlignment="1" applyProtection="1">
      <alignment vertical="center" wrapText="1"/>
    </xf>
    <xf numFmtId="0" fontId="27" fillId="6" borderId="114" xfId="0" applyFont="1" applyFill="1" applyBorder="1" applyAlignment="1" applyProtection="1">
      <alignment vertical="center" wrapText="1"/>
    </xf>
    <xf numFmtId="0" fontId="27" fillId="6" borderId="114" xfId="0" applyNumberFormat="1" applyFont="1" applyFill="1" applyBorder="1" applyAlignment="1" applyProtection="1">
      <alignment horizontal="left" vertical="center" wrapText="1" indent="1"/>
      <protection locked="0"/>
    </xf>
    <xf numFmtId="49" fontId="27" fillId="6" borderId="114" xfId="0" applyNumberFormat="1" applyFont="1" applyFill="1" applyBorder="1" applyAlignment="1" applyProtection="1">
      <alignment horizontal="left" vertical="center" wrapText="1" indent="1"/>
      <protection locked="0"/>
    </xf>
    <xf numFmtId="49" fontId="27" fillId="6" borderId="114" xfId="0" applyNumberFormat="1" applyFont="1" applyFill="1" applyBorder="1" applyAlignment="1" applyProtection="1">
      <alignment horizontal="left" vertical="center" wrapText="1" indent="1"/>
    </xf>
    <xf numFmtId="0" fontId="73" fillId="15" borderId="114" xfId="8" applyFont="1" applyBorder="1" applyAlignment="1" applyProtection="1">
      <alignment vertical="center" wrapText="1"/>
    </xf>
    <xf numFmtId="0" fontId="31" fillId="0" borderId="114" xfId="0" applyFont="1" applyBorder="1" applyProtection="1"/>
    <xf numFmtId="49" fontId="73" fillId="8" borderId="114" xfId="8" applyNumberFormat="1" applyFont="1" applyFill="1" applyBorder="1" applyAlignment="1" applyProtection="1">
      <alignment horizontal="center" vertical="center" wrapText="1"/>
    </xf>
    <xf numFmtId="49" fontId="27" fillId="8" borderId="114" xfId="0" applyNumberFormat="1" applyFont="1" applyFill="1" applyBorder="1" applyAlignment="1" applyProtection="1">
      <alignment horizontal="center" vertical="center" wrapText="1"/>
    </xf>
    <xf numFmtId="181" fontId="27" fillId="6" borderId="114" xfId="0" applyNumberFormat="1" applyFont="1" applyFill="1" applyBorder="1" applyAlignment="1" applyProtection="1">
      <alignment horizontal="center" vertical="center" wrapText="1"/>
      <protection locked="0"/>
    </xf>
    <xf numFmtId="49" fontId="27" fillId="0" borderId="114" xfId="0" applyNumberFormat="1" applyFont="1" applyBorder="1" applyAlignment="1" applyProtection="1">
      <alignment horizontal="center" vertical="center" wrapText="1"/>
      <protection locked="0"/>
    </xf>
    <xf numFmtId="49" fontId="27" fillId="6" borderId="114" xfId="0" applyNumberFormat="1" applyFont="1" applyFill="1" applyBorder="1" applyAlignment="1" applyProtection="1">
      <alignment horizontal="center" vertical="center" wrapText="1"/>
      <protection locked="0"/>
    </xf>
    <xf numFmtId="0" fontId="27" fillId="0" borderId="114" xfId="0" applyFont="1" applyBorder="1" applyAlignment="1" applyProtection="1">
      <alignment horizontal="center" vertical="center" wrapText="1"/>
      <protection locked="0"/>
    </xf>
    <xf numFmtId="0" fontId="35" fillId="4" borderId="114" xfId="0" applyFont="1" applyFill="1" applyBorder="1" applyAlignment="1" applyProtection="1">
      <alignment horizontal="center" vertical="center" wrapText="1"/>
    </xf>
    <xf numFmtId="0" fontId="28" fillId="16" borderId="114" xfId="0" applyFont="1" applyFill="1" applyBorder="1" applyAlignment="1" applyProtection="1">
      <alignment horizontal="center" vertical="center"/>
    </xf>
    <xf numFmtId="0" fontId="28" fillId="17" borderId="114" xfId="0" applyFont="1" applyFill="1" applyBorder="1" applyAlignment="1" applyProtection="1">
      <alignment horizontal="center" vertical="center"/>
    </xf>
    <xf numFmtId="181" fontId="27" fillId="8" borderId="114" xfId="0" applyNumberFormat="1" applyFont="1" applyFill="1" applyBorder="1" applyAlignment="1" applyProtection="1">
      <alignment horizontal="center" vertical="center" wrapText="1"/>
    </xf>
    <xf numFmtId="180" fontId="27" fillId="8" borderId="114" xfId="0" applyNumberFormat="1" applyFont="1" applyFill="1" applyBorder="1" applyAlignment="1" applyProtection="1">
      <alignment horizontal="center" vertical="center" wrapText="1"/>
    </xf>
    <xf numFmtId="3" fontId="27" fillId="8" borderId="114" xfId="0" applyNumberFormat="1" applyFont="1" applyFill="1" applyBorder="1" applyAlignment="1" applyProtection="1">
      <alignment horizontal="left" vertical="center" wrapText="1"/>
    </xf>
    <xf numFmtId="3" fontId="27" fillId="0" borderId="114" xfId="0" applyNumberFormat="1" applyFont="1" applyFill="1" applyBorder="1" applyAlignment="1" applyProtection="1">
      <alignment horizontal="center" vertical="center" wrapText="1"/>
      <protection locked="0"/>
    </xf>
    <xf numFmtId="180" fontId="27" fillId="0" borderId="114" xfId="0" applyNumberFormat="1" applyFont="1" applyFill="1" applyBorder="1" applyAlignment="1" applyProtection="1">
      <alignment horizontal="center" vertical="center" wrapText="1"/>
      <protection locked="0"/>
    </xf>
    <xf numFmtId="9" fontId="27" fillId="8" borderId="114" xfId="0" applyNumberFormat="1" applyFont="1" applyFill="1" applyBorder="1" applyAlignment="1" applyProtection="1">
      <alignment horizontal="center" vertical="center" wrapText="1"/>
    </xf>
    <xf numFmtId="181" fontId="27" fillId="0" borderId="114" xfId="0" applyNumberFormat="1" applyFont="1" applyFill="1" applyBorder="1" applyAlignment="1" applyProtection="1">
      <alignment horizontal="center" vertical="center" wrapText="1"/>
      <protection locked="0"/>
    </xf>
    <xf numFmtId="9" fontId="27" fillId="0" borderId="114" xfId="0" applyNumberFormat="1" applyFont="1" applyFill="1" applyBorder="1" applyAlignment="1" applyProtection="1">
      <alignment horizontal="center" vertical="center" wrapText="1"/>
      <protection locked="0"/>
    </xf>
    <xf numFmtId="9" fontId="27" fillId="0" borderId="114" xfId="0" applyNumberFormat="1" applyFont="1" applyFill="1" applyBorder="1" applyAlignment="1" applyProtection="1">
      <alignment horizontal="center" vertical="center"/>
      <protection locked="0"/>
    </xf>
    <xf numFmtId="0" fontId="27" fillId="0" borderId="114" xfId="0" applyFont="1" applyFill="1" applyBorder="1" applyAlignment="1" applyProtection="1">
      <alignment horizontal="left" vertical="center"/>
      <protection locked="0"/>
    </xf>
    <xf numFmtId="0" fontId="31" fillId="0" borderId="114" xfId="0" applyFont="1" applyBorder="1" applyProtection="1">
      <protection hidden="1"/>
    </xf>
    <xf numFmtId="49" fontId="71" fillId="8" borderId="114" xfId="8" applyNumberFormat="1" applyFont="1" applyFill="1" applyBorder="1" applyAlignment="1" applyProtection="1">
      <alignment vertical="center" wrapText="1"/>
    </xf>
    <xf numFmtId="0" fontId="27" fillId="8" borderId="114" xfId="0" applyFont="1" applyFill="1" applyBorder="1" applyAlignment="1" applyProtection="1">
      <alignment vertical="center" wrapText="1"/>
    </xf>
    <xf numFmtId="181" fontId="27" fillId="8" borderId="114" xfId="0" applyNumberFormat="1" applyFont="1" applyFill="1" applyBorder="1" applyAlignment="1" applyProtection="1">
      <alignment vertical="center" wrapText="1"/>
    </xf>
    <xf numFmtId="180" fontId="27" fillId="8" borderId="114" xfId="0" applyNumberFormat="1" applyFont="1" applyFill="1" applyBorder="1" applyAlignment="1" applyProtection="1">
      <alignment vertical="center" wrapText="1"/>
    </xf>
    <xf numFmtId="9" fontId="23" fillId="0" borderId="114" xfId="0" applyNumberFormat="1" applyFont="1" applyFill="1" applyBorder="1" applyAlignment="1" applyProtection="1">
      <alignment horizontal="center" vertical="center"/>
      <protection locked="0"/>
    </xf>
    <xf numFmtId="0" fontId="23" fillId="0" borderId="114" xfId="0" applyFont="1" applyFill="1" applyBorder="1" applyAlignment="1" applyProtection="1">
      <alignment horizontal="left" vertical="center"/>
      <protection locked="0"/>
    </xf>
    <xf numFmtId="0" fontId="31" fillId="0" borderId="114" xfId="0" applyFont="1" applyBorder="1" applyAlignment="1" applyProtection="1">
      <protection hidden="1"/>
    </xf>
    <xf numFmtId="0" fontId="30" fillId="2" borderId="114" xfId="0" applyFont="1" applyFill="1" applyBorder="1" applyAlignment="1" applyProtection="1">
      <alignment vertical="center"/>
    </xf>
    <xf numFmtId="0" fontId="27" fillId="8" borderId="114" xfId="0" applyFont="1" applyFill="1" applyBorder="1" applyAlignment="1" applyProtection="1">
      <alignment horizontal="center" vertical="center" wrapText="1"/>
    </xf>
    <xf numFmtId="167" fontId="27" fillId="8" borderId="114" xfId="0" applyNumberFormat="1" applyFont="1" applyFill="1" applyBorder="1" applyAlignment="1" applyProtection="1">
      <alignment horizontal="center" vertical="center" wrapText="1"/>
    </xf>
    <xf numFmtId="167" fontId="27" fillId="0" borderId="114" xfId="0" applyNumberFormat="1" applyFont="1" applyFill="1" applyBorder="1" applyAlignment="1" applyProtection="1">
      <alignment horizontal="center" vertical="center" wrapText="1"/>
    </xf>
    <xf numFmtId="167" fontId="27" fillId="0" borderId="114" xfId="0" applyNumberFormat="1" applyFont="1" applyFill="1" applyBorder="1" applyAlignment="1" applyProtection="1">
      <alignment horizontal="center" vertical="center" wrapText="1"/>
      <protection locked="0"/>
    </xf>
    <xf numFmtId="177" fontId="27" fillId="8" borderId="114" xfId="0" applyNumberFormat="1" applyFont="1" applyFill="1" applyBorder="1" applyAlignment="1" applyProtection="1">
      <alignment horizontal="center" vertical="center" wrapText="1"/>
    </xf>
    <xf numFmtId="177" fontId="27" fillId="0" borderId="114" xfId="0" applyNumberFormat="1" applyFont="1" applyFill="1" applyBorder="1" applyAlignment="1" applyProtection="1">
      <alignment horizontal="center" vertical="center"/>
      <protection locked="0"/>
    </xf>
    <xf numFmtId="0" fontId="26" fillId="2" borderId="114" xfId="0" applyFont="1" applyFill="1" applyBorder="1" applyAlignment="1" applyProtection="1">
      <alignment vertical="center"/>
      <protection locked="0"/>
    </xf>
    <xf numFmtId="49" fontId="27" fillId="0" borderId="114" xfId="0" applyNumberFormat="1" applyFont="1" applyBorder="1" applyAlignment="1" applyProtection="1">
      <alignment horizontal="left" vertical="center" wrapText="1"/>
      <protection locked="0"/>
    </xf>
    <xf numFmtId="0" fontId="68" fillId="9" borderId="114" xfId="5" applyFont="1" applyFill="1" applyBorder="1" applyAlignment="1" applyProtection="1">
      <alignment horizontal="left" vertical="center" wrapText="1"/>
    </xf>
    <xf numFmtId="0" fontId="28" fillId="4" borderId="114" xfId="5" applyFont="1" applyFill="1" applyBorder="1" applyAlignment="1" applyProtection="1">
      <alignment horizontal="center" vertical="center" wrapText="1"/>
    </xf>
    <xf numFmtId="0" fontId="27" fillId="0" borderId="114" xfId="5" applyFont="1" applyBorder="1" applyProtection="1">
      <protection locked="0"/>
    </xf>
    <xf numFmtId="0" fontId="100" fillId="0" borderId="114" xfId="5" applyFont="1" applyBorder="1" applyProtection="1">
      <protection locked="0"/>
    </xf>
    <xf numFmtId="0" fontId="100" fillId="0" borderId="114" xfId="5" applyFont="1" applyBorder="1" applyProtection="1"/>
    <xf numFmtId="49" fontId="27" fillId="9" borderId="114" xfId="5" applyNumberFormat="1" applyFont="1" applyFill="1" applyBorder="1" applyAlignment="1" applyProtection="1">
      <alignment horizontal="left" vertical="top" wrapText="1"/>
    </xf>
    <xf numFmtId="178" fontId="27" fillId="12" borderId="114" xfId="5" applyNumberFormat="1" applyFont="1" applyFill="1" applyBorder="1" applyAlignment="1" applyProtection="1">
      <alignment vertical="center"/>
    </xf>
    <xf numFmtId="174" fontId="27" fillId="12" borderId="114" xfId="10" applyNumberFormat="1" applyFont="1" applyFill="1" applyBorder="1" applyAlignment="1" applyProtection="1">
      <alignment vertical="center"/>
    </xf>
    <xf numFmtId="49" fontId="78" fillId="13" borderId="114" xfId="5" applyNumberFormat="1" applyFont="1" applyFill="1" applyBorder="1" applyAlignment="1" applyProtection="1">
      <alignment vertical="center" wrapText="1"/>
      <protection locked="0"/>
    </xf>
    <xf numFmtId="184" fontId="100" fillId="0" borderId="114" xfId="5" applyNumberFormat="1" applyFont="1" applyBorder="1" applyProtection="1"/>
    <xf numFmtId="0" fontId="68" fillId="9" borderId="114" xfId="5" applyFont="1" applyFill="1" applyBorder="1" applyAlignment="1" applyProtection="1">
      <alignment horizontal="center" vertical="center"/>
    </xf>
    <xf numFmtId="0" fontId="27" fillId="0" borderId="114" xfId="5" applyFont="1" applyBorder="1" applyAlignment="1" applyProtection="1">
      <alignment vertical="center"/>
      <protection locked="0"/>
    </xf>
    <xf numFmtId="0" fontId="100" fillId="0" borderId="114" xfId="5" applyFont="1" applyBorder="1" applyAlignment="1" applyProtection="1">
      <alignment vertical="center"/>
      <protection locked="0"/>
    </xf>
    <xf numFmtId="0" fontId="100" fillId="0" borderId="114" xfId="5" applyFont="1" applyBorder="1" applyAlignment="1" applyProtection="1">
      <alignment vertical="center"/>
    </xf>
    <xf numFmtId="49" fontId="27" fillId="9" borderId="114" xfId="5" applyNumberFormat="1" applyFont="1" applyFill="1" applyBorder="1" applyAlignment="1" applyProtection="1">
      <alignment vertical="top" wrapText="1"/>
    </xf>
    <xf numFmtId="49" fontId="78" fillId="13" borderId="114" xfId="5" applyNumberFormat="1" applyFont="1" applyFill="1" applyBorder="1" applyAlignment="1" applyProtection="1">
      <alignment horizontal="left" vertical="center" wrapText="1"/>
      <protection locked="0"/>
    </xf>
    <xf numFmtId="0" fontId="64" fillId="9" borderId="114" xfId="5" applyFont="1" applyFill="1" applyBorder="1" applyAlignment="1" applyProtection="1">
      <alignment vertical="center"/>
    </xf>
    <xf numFmtId="0" fontId="26" fillId="0" borderId="114" xfId="5" applyFont="1" applyBorder="1"/>
    <xf numFmtId="0" fontId="97" fillId="0" borderId="114" xfId="5" applyFont="1" applyBorder="1"/>
    <xf numFmtId="49" fontId="26" fillId="9" borderId="114" xfId="5" applyNumberFormat="1" applyFont="1" applyFill="1" applyBorder="1" applyAlignment="1" applyProtection="1">
      <alignment horizontal="left" vertical="center" wrapText="1"/>
    </xf>
    <xf numFmtId="178" fontId="23" fillId="12" borderId="114" xfId="5" applyNumberFormat="1" applyFont="1" applyFill="1" applyBorder="1" applyAlignment="1" applyProtection="1">
      <alignment vertical="center"/>
    </xf>
    <xf numFmtId="178" fontId="23" fillId="13" borderId="114" xfId="5" applyNumberFormat="1" applyFont="1" applyFill="1" applyBorder="1" applyAlignment="1" applyProtection="1">
      <alignment vertical="center"/>
      <protection locked="0"/>
    </xf>
    <xf numFmtId="174" fontId="23" fillId="12" borderId="114" xfId="10" applyNumberFormat="1" applyFont="1" applyFill="1" applyBorder="1" applyAlignment="1" applyProtection="1">
      <alignment vertical="center"/>
    </xf>
    <xf numFmtId="178" fontId="23" fillId="12" borderId="114" xfId="5" applyNumberFormat="1" applyFont="1" applyFill="1" applyBorder="1" applyAlignment="1" applyProtection="1">
      <alignment vertical="center"/>
      <protection locked="0"/>
    </xf>
    <xf numFmtId="0" fontId="58" fillId="0" borderId="114" xfId="5" applyFont="1" applyBorder="1"/>
    <xf numFmtId="184" fontId="97" fillId="0" borderId="114" xfId="5" applyNumberFormat="1" applyFont="1" applyBorder="1"/>
    <xf numFmtId="0" fontId="58" fillId="0" borderId="114" xfId="5" applyFont="1" applyBorder="1" applyAlignment="1">
      <alignment vertical="center"/>
    </xf>
    <xf numFmtId="0" fontId="97" fillId="26" borderId="114" xfId="5" applyFont="1" applyFill="1" applyBorder="1" applyAlignment="1">
      <alignment vertical="center"/>
    </xf>
    <xf numFmtId="49" fontId="26" fillId="9" borderId="114" xfId="5" applyNumberFormat="1" applyFont="1" applyFill="1" applyBorder="1" applyAlignment="1" applyProtection="1">
      <alignment horizontal="left" vertical="center" wrapText="1"/>
      <protection locked="0"/>
    </xf>
    <xf numFmtId="0" fontId="97" fillId="26" borderId="114" xfId="5" applyFont="1" applyFill="1" applyBorder="1"/>
    <xf numFmtId="0" fontId="26" fillId="0" borderId="114" xfId="5" applyFont="1" applyBorder="1" applyAlignment="1">
      <alignment vertical="center"/>
    </xf>
    <xf numFmtId="49" fontId="26" fillId="9" borderId="114" xfId="5" applyNumberFormat="1" applyFont="1" applyFill="1" applyBorder="1" applyAlignment="1" applyProtection="1">
      <alignment vertical="top"/>
      <protection locked="0"/>
    </xf>
    <xf numFmtId="178" fontId="26" fillId="13" borderId="114" xfId="5" applyNumberFormat="1" applyFont="1" applyFill="1" applyBorder="1" applyAlignment="1" applyProtection="1">
      <alignment vertical="center"/>
      <protection locked="0"/>
    </xf>
    <xf numFmtId="185" fontId="15" fillId="0" borderId="114" xfId="5" applyNumberFormat="1" applyFill="1" applyBorder="1"/>
    <xf numFmtId="0" fontId="64" fillId="9" borderId="114" xfId="57" applyFont="1" applyFill="1" applyBorder="1" applyAlignment="1" applyProtection="1">
      <alignment vertical="center"/>
    </xf>
    <xf numFmtId="0" fontId="27" fillId="0" borderId="114" xfId="6" applyFont="1" applyFill="1" applyBorder="1" applyAlignment="1" applyProtection="1">
      <alignment vertical="center"/>
    </xf>
    <xf numFmtId="173" fontId="22" fillId="16" borderId="114" xfId="57" applyNumberFormat="1" applyFont="1" applyFill="1" applyBorder="1" applyAlignment="1" applyProtection="1">
      <alignment horizontal="center" vertical="center" wrapText="1"/>
    </xf>
    <xf numFmtId="0" fontId="38" fillId="0" borderId="114" xfId="57" applyFont="1" applyFill="1" applyBorder="1" applyAlignment="1" applyProtection="1">
      <alignment vertical="center"/>
      <protection locked="0"/>
    </xf>
    <xf numFmtId="0" fontId="94" fillId="0" borderId="114" xfId="57" applyFont="1" applyFill="1" applyBorder="1" applyProtection="1"/>
    <xf numFmtId="0" fontId="94" fillId="0" borderId="114" xfId="57" applyFont="1" applyFill="1" applyBorder="1" applyProtection="1">
      <protection locked="0"/>
    </xf>
    <xf numFmtId="49" fontId="38" fillId="9" borderId="114" xfId="57" applyNumberFormat="1" applyFont="1" applyFill="1" applyBorder="1" applyAlignment="1" applyProtection="1">
      <alignment horizontal="left" vertical="center" wrapText="1"/>
    </xf>
    <xf numFmtId="0" fontId="38" fillId="9" borderId="114" xfId="57" applyFont="1" applyFill="1" applyBorder="1" applyAlignment="1" applyProtection="1">
      <alignment horizontal="left" vertical="center"/>
    </xf>
    <xf numFmtId="178" fontId="23" fillId="12" borderId="114" xfId="0" applyNumberFormat="1" applyFont="1" applyFill="1" applyBorder="1" applyAlignment="1" applyProtection="1">
      <alignment vertical="center"/>
    </xf>
    <xf numFmtId="178" fontId="23" fillId="13" borderId="114" xfId="57" applyNumberFormat="1" applyFont="1" applyFill="1" applyBorder="1" applyAlignment="1" applyProtection="1">
      <alignment vertical="center"/>
      <protection locked="0"/>
    </xf>
    <xf numFmtId="178" fontId="23" fillId="12" borderId="114" xfId="57" applyNumberFormat="1" applyFont="1" applyFill="1" applyBorder="1" applyAlignment="1" applyProtection="1">
      <alignment vertical="center"/>
    </xf>
    <xf numFmtId="173" fontId="23" fillId="13" borderId="114" xfId="0" applyNumberFormat="1" applyFont="1" applyFill="1" applyBorder="1" applyAlignment="1" applyProtection="1">
      <alignment horizontal="left" vertical="center" wrapText="1"/>
      <protection locked="0"/>
    </xf>
    <xf numFmtId="49" fontId="23" fillId="0" borderId="114" xfId="57" applyNumberFormat="1" applyFont="1" applyFill="1" applyBorder="1" applyAlignment="1" applyProtection="1">
      <alignment vertical="center"/>
    </xf>
    <xf numFmtId="178" fontId="23" fillId="13" borderId="114" xfId="0" applyNumberFormat="1" applyFont="1" applyFill="1" applyBorder="1" applyAlignment="1" applyProtection="1">
      <alignment vertical="center"/>
      <protection locked="0"/>
    </xf>
    <xf numFmtId="173" fontId="23" fillId="13" borderId="114" xfId="57" applyNumberFormat="1" applyFont="1" applyFill="1" applyBorder="1" applyAlignment="1" applyProtection="1">
      <alignment horizontal="left" vertical="center" wrapText="1"/>
      <protection locked="0"/>
    </xf>
    <xf numFmtId="0" fontId="38" fillId="0" borderId="114" xfId="57" applyFont="1" applyFill="1" applyBorder="1" applyProtection="1">
      <protection locked="0"/>
    </xf>
    <xf numFmtId="184" fontId="94" fillId="0" borderId="114" xfId="57" applyNumberFormat="1" applyFont="1" applyFill="1" applyBorder="1" applyProtection="1">
      <protection locked="0"/>
    </xf>
    <xf numFmtId="0" fontId="68" fillId="9" borderId="114" xfId="5" applyFont="1" applyFill="1" applyBorder="1" applyAlignment="1" applyProtection="1">
      <alignment horizontal="center" vertical="center" wrapText="1"/>
    </xf>
    <xf numFmtId="173" fontId="22" fillId="0" borderId="114" xfId="57" applyNumberFormat="1" applyFont="1" applyFill="1" applyBorder="1" applyAlignment="1" applyProtection="1">
      <alignment horizontal="center" vertical="center" wrapText="1"/>
    </xf>
    <xf numFmtId="0" fontId="38" fillId="0" borderId="114" xfId="57" applyFont="1" applyFill="1" applyBorder="1" applyProtection="1"/>
    <xf numFmtId="173" fontId="23" fillId="13" borderId="114" xfId="57" applyNumberFormat="1" applyFont="1" applyFill="1" applyBorder="1" applyAlignment="1" applyProtection="1">
      <alignment vertical="center" wrapText="1"/>
      <protection locked="0"/>
    </xf>
    <xf numFmtId="0" fontId="64" fillId="9" borderId="114" xfId="0" applyFont="1" applyFill="1" applyBorder="1" applyAlignment="1" applyProtection="1">
      <alignment vertical="center"/>
    </xf>
    <xf numFmtId="0" fontId="38" fillId="9" borderId="114" xfId="57" applyFont="1" applyFill="1" applyBorder="1" applyAlignment="1" applyProtection="1">
      <alignment horizontal="left" vertical="center" wrapText="1"/>
    </xf>
    <xf numFmtId="49" fontId="27" fillId="13" borderId="114" xfId="0" applyNumberFormat="1" applyFont="1" applyFill="1" applyBorder="1" applyAlignment="1" applyProtection="1">
      <alignment vertical="center"/>
      <protection locked="0"/>
    </xf>
    <xf numFmtId="182" fontId="27" fillId="13" borderId="114" xfId="0" applyNumberFormat="1" applyFont="1" applyFill="1" applyBorder="1" applyAlignment="1" applyProtection="1">
      <alignment vertical="center"/>
      <protection locked="0"/>
    </xf>
    <xf numFmtId="182" fontId="27" fillId="12" borderId="114" xfId="0" applyNumberFormat="1" applyFont="1" applyFill="1" applyBorder="1" applyAlignment="1" applyProtection="1">
      <alignment vertical="center"/>
    </xf>
    <xf numFmtId="173" fontId="27" fillId="0" borderId="114" xfId="0" applyNumberFormat="1" applyFont="1" applyFill="1" applyBorder="1" applyAlignment="1" applyProtection="1">
      <alignment horizontal="left" vertical="center" wrapText="1"/>
      <protection locked="0"/>
    </xf>
    <xf numFmtId="165" fontId="27" fillId="13" borderId="114" xfId="1" applyNumberFormat="1" applyFont="1" applyFill="1" applyBorder="1" applyAlignment="1" applyProtection="1">
      <alignment vertical="center"/>
      <protection locked="0"/>
    </xf>
    <xf numFmtId="165" fontId="27" fillId="12" borderId="114" xfId="0" applyNumberFormat="1" applyFont="1" applyFill="1" applyBorder="1" applyAlignment="1" applyProtection="1">
      <alignment vertical="center"/>
    </xf>
    <xf numFmtId="164" fontId="27" fillId="13" borderId="114" xfId="1" applyNumberFormat="1" applyFont="1" applyFill="1" applyBorder="1" applyAlignment="1" applyProtection="1">
      <alignment vertical="center"/>
      <protection locked="0"/>
    </xf>
    <xf numFmtId="164" fontId="27" fillId="12" borderId="114" xfId="0" applyNumberFormat="1" applyFont="1" applyFill="1" applyBorder="1" applyAlignment="1" applyProtection="1">
      <alignment vertical="center"/>
    </xf>
    <xf numFmtId="0" fontId="27" fillId="0" borderId="114" xfId="0" applyFont="1" applyBorder="1" applyAlignment="1" applyProtection="1">
      <alignment horizontal="left" vertical="center"/>
      <protection locked="0"/>
    </xf>
    <xf numFmtId="0" fontId="31" fillId="0" borderId="114" xfId="0" applyFont="1" applyFill="1" applyBorder="1" applyProtection="1"/>
    <xf numFmtId="0" fontId="26" fillId="0" borderId="114" xfId="0" applyFont="1" applyFill="1" applyBorder="1" applyAlignment="1" applyProtection="1">
      <alignment horizontal="left" vertical="center"/>
    </xf>
    <xf numFmtId="0" fontId="93" fillId="0" borderId="114" xfId="0" applyFont="1" applyFill="1" applyBorder="1" applyAlignment="1">
      <alignment horizontal="center" vertical="center" wrapText="1"/>
    </xf>
    <xf numFmtId="178" fontId="22" fillId="12" borderId="114" xfId="57" applyNumberFormat="1" applyFont="1" applyFill="1" applyBorder="1" applyAlignment="1" applyProtection="1">
      <alignment vertical="center"/>
    </xf>
    <xf numFmtId="0" fontId="95" fillId="0" borderId="114" xfId="57" applyFont="1" applyFill="1" applyBorder="1" applyProtection="1"/>
    <xf numFmtId="49" fontId="26" fillId="9" borderId="114" xfId="0" quotePrefix="1" applyNumberFormat="1" applyFont="1" applyFill="1" applyBorder="1" applyAlignment="1" applyProtection="1">
      <alignment horizontal="left" vertical="center" wrapText="1"/>
    </xf>
    <xf numFmtId="0" fontId="26" fillId="9" borderId="114" xfId="0" applyFont="1" applyFill="1" applyBorder="1" applyAlignment="1" applyProtection="1">
      <alignment horizontal="left" vertical="center" wrapText="1"/>
    </xf>
    <xf numFmtId="178" fontId="23" fillId="13" borderId="114" xfId="57" applyNumberFormat="1" applyFont="1" applyFill="1" applyBorder="1" applyAlignment="1" applyProtection="1">
      <alignment vertical="center"/>
    </xf>
    <xf numFmtId="15" fontId="15" fillId="0" borderId="114" xfId="5" applyNumberFormat="1" applyFill="1" applyBorder="1"/>
    <xf numFmtId="0" fontId="0" fillId="0" borderId="114" xfId="0" applyFill="1" applyBorder="1"/>
    <xf numFmtId="49" fontId="0" fillId="0" borderId="114" xfId="0" applyNumberFormat="1" applyFill="1" applyBorder="1"/>
    <xf numFmtId="0" fontId="0" fillId="0" borderId="146" xfId="0" applyFill="1" applyBorder="1"/>
    <xf numFmtId="49" fontId="0" fillId="0" borderId="146" xfId="0" applyNumberFormat="1" applyFill="1" applyBorder="1"/>
    <xf numFmtId="0" fontId="103" fillId="0" borderId="114" xfId="0" applyFont="1" applyFill="1" applyBorder="1"/>
    <xf numFmtId="0" fontId="27" fillId="0" borderId="114" xfId="5" applyFont="1" applyFill="1" applyBorder="1" applyAlignment="1" applyProtection="1">
      <alignment vertical="top" wrapText="1"/>
      <protection locked="0"/>
    </xf>
    <xf numFmtId="178" fontId="27" fillId="0" borderId="114" xfId="5" applyNumberFormat="1" applyFont="1" applyFill="1" applyBorder="1" applyAlignment="1" applyProtection="1">
      <alignment vertical="center"/>
      <protection locked="0"/>
    </xf>
    <xf numFmtId="178" fontId="27" fillId="0" borderId="114" xfId="5" applyNumberFormat="1" applyFont="1" applyFill="1" applyBorder="1" applyAlignment="1" applyProtection="1">
      <alignment vertical="center"/>
    </xf>
    <xf numFmtId="174" fontId="27" fillId="0" borderId="114" xfId="10" applyNumberFormat="1" applyFont="1" applyFill="1" applyBorder="1" applyAlignment="1" applyProtection="1">
      <alignment vertical="center"/>
    </xf>
    <xf numFmtId="49" fontId="27" fillId="0" borderId="114" xfId="5" applyNumberFormat="1" applyFont="1" applyFill="1" applyBorder="1" applyAlignment="1" applyProtection="1">
      <alignment horizontal="left" vertical="center" wrapText="1"/>
      <protection locked="0"/>
    </xf>
    <xf numFmtId="49" fontId="27" fillId="13" borderId="114" xfId="5" applyNumberFormat="1" applyFont="1" applyFill="1" applyBorder="1" applyAlignment="1" applyProtection="1">
      <alignment vertical="top" wrapText="1"/>
      <protection locked="0"/>
    </xf>
    <xf numFmtId="0" fontId="26" fillId="0" borderId="114" xfId="5" applyFont="1" applyFill="1" applyBorder="1" applyAlignment="1" applyProtection="1">
      <alignment horizontal="left" vertical="center" wrapText="1"/>
      <protection locked="0"/>
    </xf>
    <xf numFmtId="178" fontId="23" fillId="0" borderId="114" xfId="5" applyNumberFormat="1" applyFont="1" applyFill="1" applyBorder="1" applyAlignment="1" applyProtection="1">
      <alignment vertical="center"/>
    </xf>
    <xf numFmtId="178" fontId="23" fillId="0" borderId="114" xfId="5" applyNumberFormat="1" applyFont="1" applyFill="1" applyBorder="1" applyAlignment="1" applyProtection="1">
      <alignment vertical="center"/>
      <protection locked="0"/>
    </xf>
    <xf numFmtId="174" fontId="23" fillId="0" borderId="114" xfId="10" applyNumberFormat="1" applyFont="1" applyFill="1" applyBorder="1" applyAlignment="1" applyProtection="1">
      <alignment vertical="center"/>
    </xf>
    <xf numFmtId="49" fontId="23" fillId="0" borderId="114" xfId="5" applyNumberFormat="1" applyFont="1" applyFill="1" applyBorder="1" applyAlignment="1" applyProtection="1">
      <alignment horizontal="left" vertical="center" wrapText="1"/>
      <protection locked="0"/>
    </xf>
    <xf numFmtId="49" fontId="38" fillId="13" borderId="114" xfId="5" applyNumberFormat="1" applyFont="1" applyFill="1" applyBorder="1" applyAlignment="1" applyProtection="1">
      <alignment vertical="center"/>
      <protection locked="0"/>
    </xf>
    <xf numFmtId="0" fontId="38" fillId="0" borderId="114" xfId="57" applyFont="1" applyFill="1" applyBorder="1" applyAlignment="1" applyProtection="1">
      <alignment horizontal="left" vertical="center"/>
    </xf>
    <xf numFmtId="178" fontId="23" fillId="0" borderId="114" xfId="0" applyNumberFormat="1" applyFont="1" applyFill="1" applyBorder="1" applyAlignment="1" applyProtection="1">
      <alignment vertical="center"/>
      <protection locked="0"/>
    </xf>
    <xf numFmtId="178" fontId="23" fillId="0" borderId="114" xfId="57" applyNumberFormat="1" applyFont="1" applyFill="1" applyBorder="1" applyAlignment="1" applyProtection="1">
      <alignment vertical="center"/>
    </xf>
    <xf numFmtId="173" fontId="23" fillId="0" borderId="114" xfId="0" applyNumberFormat="1" applyFont="1" applyFill="1" applyBorder="1" applyAlignment="1" applyProtection="1">
      <alignment horizontal="left" vertical="center" wrapText="1"/>
      <protection locked="0"/>
    </xf>
    <xf numFmtId="178" fontId="23" fillId="0" borderId="114" xfId="57" applyNumberFormat="1" applyFont="1" applyFill="1" applyBorder="1" applyAlignment="1" applyProtection="1">
      <alignment vertical="center"/>
      <protection locked="0"/>
    </xf>
    <xf numFmtId="173" fontId="23" fillId="0" borderId="114" xfId="57" applyNumberFormat="1" applyFont="1" applyFill="1" applyBorder="1" applyAlignment="1" applyProtection="1">
      <alignment horizontal="left" vertical="center" wrapText="1"/>
      <protection locked="0"/>
    </xf>
    <xf numFmtId="49" fontId="38" fillId="13" borderId="114" xfId="57" applyNumberFormat="1" applyFont="1" applyFill="1" applyBorder="1" applyAlignment="1" applyProtection="1">
      <alignment horizontal="left" vertical="center" wrapText="1"/>
      <protection locked="0"/>
    </xf>
    <xf numFmtId="184" fontId="0" fillId="0" borderId="114" xfId="0" applyNumberFormat="1" applyFill="1" applyBorder="1"/>
    <xf numFmtId="186" fontId="27" fillId="0" borderId="114" xfId="0" applyNumberFormat="1" applyFont="1" applyFill="1" applyBorder="1" applyAlignment="1" applyProtection="1">
      <alignment horizontal="left" vertical="center" wrapText="1"/>
      <protection locked="0"/>
    </xf>
    <xf numFmtId="181" fontId="27" fillId="0" borderId="114" xfId="10" applyNumberFormat="1" applyFont="1" applyFill="1" applyBorder="1" applyAlignment="1" applyProtection="1">
      <alignment horizontal="center" vertical="center" wrapText="1"/>
      <protection locked="0"/>
    </xf>
    <xf numFmtId="3" fontId="27" fillId="8" borderId="114" xfId="0" applyNumberFormat="1" applyFont="1" applyFill="1" applyBorder="1" applyAlignment="1" applyProtection="1">
      <alignment horizontal="left" vertical="center" wrapText="1"/>
      <protection locked="0"/>
    </xf>
    <xf numFmtId="0" fontId="28" fillId="6" borderId="154" xfId="0" applyFont="1" applyFill="1" applyBorder="1" applyAlignment="1" applyProtection="1">
      <alignment horizontal="center" vertical="center"/>
      <protection locked="0"/>
    </xf>
    <xf numFmtId="14" fontId="23" fillId="13" borderId="114" xfId="5" applyNumberFormat="1" applyFont="1" applyFill="1" applyBorder="1" applyAlignment="1" applyProtection="1">
      <alignment horizontal="left" vertical="center" wrapText="1"/>
      <protection locked="0"/>
    </xf>
    <xf numFmtId="14" fontId="23" fillId="13" borderId="119" xfId="5" applyNumberFormat="1" applyFont="1" applyFill="1" applyBorder="1" applyAlignment="1" applyProtection="1">
      <alignment horizontal="left" vertical="center" wrapText="1"/>
      <protection locked="0"/>
    </xf>
    <xf numFmtId="0" fontId="1" fillId="0" borderId="1" xfId="103" applyFont="1" applyBorder="1" applyProtection="1">
      <protection locked="0"/>
    </xf>
    <xf numFmtId="49" fontId="23" fillId="13" borderId="114" xfId="5" applyNumberFormat="1" applyFont="1" applyFill="1" applyBorder="1" applyAlignment="1" applyProtection="1">
      <alignment horizontal="center" vertical="center" wrapText="1"/>
      <protection locked="0"/>
    </xf>
    <xf numFmtId="0" fontId="22" fillId="9" borderId="13" xfId="0" applyFont="1" applyFill="1" applyBorder="1" applyAlignment="1" applyProtection="1">
      <alignment horizontal="left" vertical="center"/>
    </xf>
    <xf numFmtId="0" fontId="22" fillId="9" borderId="16" xfId="0" applyFont="1" applyFill="1" applyBorder="1" applyAlignment="1" applyProtection="1">
      <alignment horizontal="left" vertical="center"/>
    </xf>
    <xf numFmtId="0" fontId="22" fillId="9" borderId="6" xfId="0" applyFont="1" applyFill="1" applyBorder="1" applyAlignment="1" applyProtection="1">
      <alignment horizontal="left" vertical="center"/>
    </xf>
    <xf numFmtId="0" fontId="60" fillId="8" borderId="0" xfId="0" applyFont="1" applyFill="1" applyAlignment="1" applyProtection="1">
      <alignment horizontal="left" vertical="center" wrapText="1"/>
    </xf>
    <xf numFmtId="0" fontId="70" fillId="8" borderId="35" xfId="0" applyFont="1" applyFill="1" applyBorder="1" applyAlignment="1" applyProtection="1">
      <alignment horizontal="center" vertical="center"/>
    </xf>
    <xf numFmtId="0" fontId="27" fillId="6" borderId="18" xfId="0" quotePrefix="1" applyFont="1" applyFill="1" applyBorder="1" applyAlignment="1" applyProtection="1">
      <alignment horizontal="left" vertical="center" wrapText="1"/>
    </xf>
    <xf numFmtId="0" fontId="27" fillId="6" borderId="20" xfId="0" applyFont="1" applyFill="1" applyBorder="1" applyAlignment="1" applyProtection="1">
      <alignment horizontal="left" vertical="center" wrapText="1"/>
    </xf>
    <xf numFmtId="0" fontId="27" fillId="6" borderId="19" xfId="0" applyFont="1" applyFill="1" applyBorder="1" applyAlignment="1" applyProtection="1">
      <alignment horizontal="left" vertical="center" wrapText="1"/>
    </xf>
    <xf numFmtId="0" fontId="27" fillId="6" borderId="54" xfId="0" applyFont="1" applyFill="1" applyBorder="1" applyAlignment="1" applyProtection="1">
      <alignment horizontal="left" vertical="center" wrapText="1"/>
    </xf>
    <xf numFmtId="0" fontId="27" fillId="6" borderId="35" xfId="0" applyFont="1" applyFill="1" applyBorder="1" applyAlignment="1" applyProtection="1">
      <alignment horizontal="left" vertical="center" wrapText="1"/>
    </xf>
    <xf numFmtId="0" fontId="27" fillId="6" borderId="83" xfId="0" applyFont="1" applyFill="1" applyBorder="1" applyAlignment="1" applyProtection="1">
      <alignment horizontal="left" vertical="center" wrapText="1"/>
    </xf>
    <xf numFmtId="0" fontId="28" fillId="6" borderId="13" xfId="0" applyFont="1" applyFill="1" applyBorder="1" applyAlignment="1" applyProtection="1">
      <alignment horizontal="left"/>
    </xf>
    <xf numFmtId="0" fontId="28" fillId="6" borderId="16" xfId="0" applyFont="1" applyFill="1" applyBorder="1" applyAlignment="1" applyProtection="1">
      <alignment horizontal="left"/>
    </xf>
    <xf numFmtId="0" fontId="28" fillId="6" borderId="6" xfId="0" applyFont="1" applyFill="1" applyBorder="1" applyAlignment="1" applyProtection="1">
      <alignment horizontal="left"/>
    </xf>
    <xf numFmtId="0" fontId="27" fillId="0" borderId="11"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27" fillId="0" borderId="114" xfId="0" applyFont="1" applyFill="1" applyBorder="1" applyAlignment="1" applyProtection="1">
      <alignment horizontal="center" vertical="center" wrapText="1"/>
    </xf>
    <xf numFmtId="0" fontId="67" fillId="6" borderId="55" xfId="0" applyFont="1" applyFill="1" applyBorder="1" applyAlignment="1" applyProtection="1">
      <alignment horizontal="center" vertical="center"/>
    </xf>
    <xf numFmtId="0" fontId="67" fillId="6" borderId="58" xfId="0" applyFont="1" applyFill="1" applyBorder="1" applyAlignment="1" applyProtection="1">
      <alignment horizontal="center" vertical="center"/>
    </xf>
    <xf numFmtId="0" fontId="67" fillId="6" borderId="66" xfId="0" applyFont="1" applyFill="1" applyBorder="1" applyAlignment="1" applyProtection="1">
      <alignment horizontal="center" vertical="center"/>
    </xf>
    <xf numFmtId="0" fontId="28" fillId="6" borderId="100" xfId="0" applyFont="1" applyFill="1" applyBorder="1" applyAlignment="1" applyProtection="1">
      <alignment horizontal="center" vertical="center" wrapText="1"/>
    </xf>
    <xf numFmtId="0" fontId="28" fillId="6" borderId="114" xfId="0" applyFont="1" applyFill="1" applyBorder="1" applyAlignment="1" applyProtection="1">
      <alignment horizontal="center" vertical="center" wrapText="1"/>
    </xf>
    <xf numFmtId="0" fontId="67" fillId="3" borderId="58" xfId="0" applyFont="1" applyFill="1" applyBorder="1" applyAlignment="1" applyProtection="1">
      <alignment horizontal="center" vertical="center"/>
    </xf>
    <xf numFmtId="0" fontId="28" fillId="16" borderId="100" xfId="0" applyFont="1" applyFill="1" applyBorder="1" applyAlignment="1" applyProtection="1">
      <alignment horizontal="center" vertical="center" wrapText="1"/>
    </xf>
    <xf numFmtId="0" fontId="28" fillId="16" borderId="114" xfId="0" applyFont="1" applyFill="1" applyBorder="1" applyAlignment="1" applyProtection="1">
      <alignment horizontal="center" vertical="center" wrapText="1"/>
    </xf>
    <xf numFmtId="0" fontId="28" fillId="4" borderId="100" xfId="0" applyFont="1" applyFill="1" applyBorder="1" applyAlignment="1" applyProtection="1">
      <alignment horizontal="center" vertical="center" wrapText="1"/>
    </xf>
    <xf numFmtId="0" fontId="28" fillId="4" borderId="114" xfId="0" applyFont="1" applyFill="1" applyBorder="1" applyAlignment="1" applyProtection="1">
      <alignment horizontal="center" vertical="center" wrapText="1"/>
    </xf>
    <xf numFmtId="0" fontId="28" fillId="16" borderId="110" xfId="0" applyFont="1" applyFill="1" applyBorder="1" applyAlignment="1" applyProtection="1">
      <alignment horizontal="center" vertical="center" wrapText="1"/>
    </xf>
    <xf numFmtId="0" fontId="28" fillId="16" borderId="111" xfId="0" applyFont="1" applyFill="1" applyBorder="1" applyAlignment="1" applyProtection="1">
      <alignment horizontal="center" vertical="center" wrapText="1"/>
    </xf>
    <xf numFmtId="0" fontId="28" fillId="16" borderId="112" xfId="0" applyFont="1" applyFill="1" applyBorder="1" applyAlignment="1" applyProtection="1">
      <alignment horizontal="center" vertical="center" wrapText="1"/>
    </xf>
    <xf numFmtId="0" fontId="65" fillId="0" borderId="0" xfId="0" applyFont="1" applyAlignment="1" applyProtection="1">
      <alignment horizontal="left" vertical="center" wrapText="1"/>
    </xf>
    <xf numFmtId="0" fontId="67" fillId="3" borderId="55" xfId="0" applyFont="1" applyFill="1" applyBorder="1" applyAlignment="1" applyProtection="1">
      <alignment horizontal="left" vertical="center"/>
    </xf>
    <xf numFmtId="0" fontId="67" fillId="3" borderId="58" xfId="0" applyFont="1" applyFill="1" applyBorder="1" applyAlignment="1" applyProtection="1">
      <alignment horizontal="left" vertical="center"/>
    </xf>
    <xf numFmtId="0" fontId="62" fillId="0" borderId="0" xfId="0" applyFont="1" applyBorder="1" applyAlignment="1" applyProtection="1">
      <alignment horizontal="left" vertical="center" wrapText="1"/>
    </xf>
    <xf numFmtId="0" fontId="28" fillId="4" borderId="99" xfId="0" applyFont="1" applyFill="1" applyBorder="1" applyAlignment="1" applyProtection="1">
      <alignment horizontal="center" vertical="center" wrapText="1"/>
    </xf>
    <xf numFmtId="0" fontId="27" fillId="0" borderId="114" xfId="0" applyFont="1" applyBorder="1" applyAlignment="1" applyProtection="1">
      <alignment vertical="center" wrapText="1"/>
    </xf>
    <xf numFmtId="0" fontId="32" fillId="8" borderId="0" xfId="0" applyFont="1" applyFill="1" applyBorder="1" applyAlignment="1" applyProtection="1">
      <alignment horizontal="left" vertical="center"/>
    </xf>
    <xf numFmtId="0" fontId="28" fillId="4" borderId="110" xfId="0" applyFont="1" applyFill="1" applyBorder="1" applyAlignment="1" applyProtection="1">
      <alignment horizontal="center" vertical="center" wrapText="1"/>
    </xf>
    <xf numFmtId="0" fontId="28" fillId="4" borderId="111" xfId="0" applyFont="1" applyFill="1" applyBorder="1" applyAlignment="1" applyProtection="1">
      <alignment horizontal="center" vertical="center" wrapText="1"/>
    </xf>
    <xf numFmtId="0" fontId="28" fillId="4" borderId="112" xfId="0" applyFont="1" applyFill="1" applyBorder="1" applyAlignment="1" applyProtection="1">
      <alignment horizontal="center" vertical="center" wrapText="1"/>
    </xf>
    <xf numFmtId="0" fontId="28" fillId="16" borderId="0" xfId="0" applyFont="1" applyFill="1" applyBorder="1" applyAlignment="1" applyProtection="1">
      <alignment horizontal="center" vertical="center"/>
    </xf>
    <xf numFmtId="0" fontId="73" fillId="15" borderId="114" xfId="8" applyFont="1" applyBorder="1" applyAlignment="1" applyProtection="1">
      <alignment horizontal="center" vertical="center" wrapText="1"/>
    </xf>
    <xf numFmtId="0" fontId="28" fillId="16" borderId="107" xfId="0" applyFont="1" applyFill="1" applyBorder="1" applyAlignment="1" applyProtection="1">
      <alignment horizontal="center" vertical="center"/>
    </xf>
    <xf numFmtId="0" fontId="28" fillId="16" borderId="100" xfId="0" applyFont="1" applyFill="1" applyBorder="1" applyAlignment="1" applyProtection="1">
      <alignment horizontal="center" vertical="center"/>
    </xf>
    <xf numFmtId="0" fontId="28" fillId="17" borderId="99" xfId="0" applyFont="1" applyFill="1" applyBorder="1" applyAlignment="1" applyProtection="1">
      <alignment horizontal="center" vertical="center"/>
    </xf>
    <xf numFmtId="0" fontId="42" fillId="9" borderId="55" xfId="0" applyFont="1" applyFill="1" applyBorder="1" applyAlignment="1" applyProtection="1">
      <alignment horizontal="center" vertical="center"/>
    </xf>
    <xf numFmtId="0" fontId="42" fillId="9" borderId="58" xfId="0" applyFont="1" applyFill="1" applyBorder="1" applyAlignment="1" applyProtection="1">
      <alignment horizontal="center" vertical="center"/>
    </xf>
    <xf numFmtId="0" fontId="42" fillId="9" borderId="66" xfId="0" applyFont="1" applyFill="1" applyBorder="1" applyAlignment="1" applyProtection="1">
      <alignment horizontal="center" vertical="center"/>
    </xf>
    <xf numFmtId="0" fontId="28" fillId="16" borderId="110" xfId="0" applyFont="1" applyFill="1" applyBorder="1" applyAlignment="1" applyProtection="1">
      <alignment horizontal="center" vertical="center"/>
    </xf>
    <xf numFmtId="0" fontId="28" fillId="16" borderId="112" xfId="0" applyFont="1" applyFill="1" applyBorder="1" applyAlignment="1" applyProtection="1">
      <alignment horizontal="center" vertical="center"/>
    </xf>
    <xf numFmtId="0" fontId="28" fillId="4" borderId="111" xfId="0" applyFont="1" applyFill="1" applyBorder="1" applyAlignment="1" applyProtection="1">
      <alignment horizontal="center" vertical="center"/>
    </xf>
    <xf numFmtId="0" fontId="28" fillId="4" borderId="112" xfId="0" applyFont="1" applyFill="1" applyBorder="1" applyAlignment="1" applyProtection="1">
      <alignment horizontal="center" vertical="center"/>
    </xf>
    <xf numFmtId="0" fontId="42" fillId="9" borderId="74" xfId="0" applyFont="1" applyFill="1" applyBorder="1" applyAlignment="1" applyProtection="1">
      <alignment horizontal="left" vertical="center" wrapText="1"/>
    </xf>
    <xf numFmtId="0" fontId="52" fillId="0" borderId="65" xfId="0" applyFont="1" applyBorder="1" applyAlignment="1" applyProtection="1">
      <alignment horizontal="left" vertical="center" wrapText="1"/>
    </xf>
    <xf numFmtId="0" fontId="52" fillId="0" borderId="75" xfId="0" applyFont="1" applyBorder="1" applyAlignment="1" applyProtection="1">
      <alignment horizontal="left" vertical="center" wrapText="1"/>
    </xf>
    <xf numFmtId="0" fontId="28" fillId="4" borderId="108" xfId="0" applyFont="1" applyFill="1" applyBorder="1" applyAlignment="1" applyProtection="1">
      <alignment horizontal="center" vertical="center" wrapText="1"/>
    </xf>
    <xf numFmtId="0" fontId="28" fillId="4" borderId="101" xfId="0" applyFont="1" applyFill="1" applyBorder="1" applyAlignment="1" applyProtection="1">
      <alignment horizontal="center" vertical="center" wrapText="1"/>
    </xf>
    <xf numFmtId="0" fontId="28" fillId="4" borderId="107" xfId="0" applyFont="1" applyFill="1" applyBorder="1" applyAlignment="1" applyProtection="1">
      <alignment horizontal="center" vertical="center" wrapText="1"/>
    </xf>
    <xf numFmtId="0" fontId="28" fillId="4" borderId="110" xfId="0" applyFont="1" applyFill="1" applyBorder="1" applyAlignment="1" applyProtection="1">
      <alignment horizontal="center" vertical="center"/>
    </xf>
    <xf numFmtId="0" fontId="28" fillId="4" borderId="107" xfId="0" applyFont="1" applyFill="1" applyBorder="1" applyAlignment="1" applyProtection="1">
      <alignment horizontal="center" vertical="center"/>
    </xf>
    <xf numFmtId="0" fontId="28" fillId="4" borderId="100" xfId="0" applyFont="1" applyFill="1" applyBorder="1" applyAlignment="1" applyProtection="1">
      <alignment horizontal="center" vertical="center"/>
    </xf>
    <xf numFmtId="0" fontId="28" fillId="16" borderId="0" xfId="0" applyFont="1" applyFill="1" applyBorder="1" applyAlignment="1" applyProtection="1">
      <alignment horizontal="center" vertical="center" wrapText="1"/>
    </xf>
    <xf numFmtId="0" fontId="27" fillId="0" borderId="114" xfId="0" applyFont="1" applyFill="1" applyBorder="1" applyAlignment="1" applyProtection="1">
      <alignment horizontal="left" vertical="center"/>
      <protection locked="0"/>
    </xf>
    <xf numFmtId="0" fontId="27" fillId="0" borderId="114" xfId="0" applyFont="1" applyBorder="1" applyAlignment="1" applyProtection="1">
      <alignment horizontal="center" vertical="center" wrapText="1"/>
    </xf>
    <xf numFmtId="0" fontId="27" fillId="0" borderId="100" xfId="0" applyFont="1" applyBorder="1" applyAlignment="1" applyProtection="1">
      <alignment horizontal="center" vertical="center" wrapText="1"/>
    </xf>
    <xf numFmtId="0" fontId="16" fillId="0" borderId="100" xfId="0" applyFont="1" applyBorder="1" applyAlignment="1" applyProtection="1">
      <alignment horizontal="center" vertical="center" wrapText="1"/>
    </xf>
    <xf numFmtId="0" fontId="28" fillId="17" borderId="100" xfId="0" applyFont="1" applyFill="1" applyBorder="1" applyAlignment="1" applyProtection="1">
      <alignment horizontal="center" vertical="center" wrapText="1"/>
    </xf>
    <xf numFmtId="0" fontId="28" fillId="17" borderId="114" xfId="0" applyFont="1" applyFill="1" applyBorder="1" applyAlignment="1" applyProtection="1">
      <alignment horizontal="center" vertical="center" wrapText="1"/>
    </xf>
    <xf numFmtId="0" fontId="28" fillId="16" borderId="107" xfId="0" applyFont="1" applyFill="1" applyBorder="1" applyAlignment="1" applyProtection="1">
      <alignment horizontal="center" vertical="center" wrapText="1"/>
    </xf>
    <xf numFmtId="0" fontId="67" fillId="3" borderId="104" xfId="0" applyFont="1" applyFill="1" applyBorder="1" applyAlignment="1" applyProtection="1">
      <alignment horizontal="center" vertical="center"/>
    </xf>
    <xf numFmtId="0" fontId="67" fillId="3" borderId="105" xfId="0" applyFont="1" applyFill="1" applyBorder="1" applyAlignment="1" applyProtection="1">
      <alignment horizontal="center" vertical="center"/>
    </xf>
    <xf numFmtId="0" fontId="62" fillId="0" borderId="0" xfId="0" applyFont="1" applyAlignment="1" applyProtection="1">
      <alignment horizontal="left" vertical="center" wrapText="1"/>
    </xf>
    <xf numFmtId="0" fontId="28" fillId="4" borderId="101" xfId="0" applyFont="1" applyFill="1" applyBorder="1" applyAlignment="1" applyProtection="1">
      <alignment horizontal="center" vertical="center"/>
    </xf>
    <xf numFmtId="0" fontId="27" fillId="0" borderId="114" xfId="0" applyFont="1" applyBorder="1" applyAlignment="1" applyProtection="1">
      <alignment horizontal="center" vertical="center"/>
    </xf>
    <xf numFmtId="0" fontId="67" fillId="3" borderId="103" xfId="0" applyFont="1" applyFill="1" applyBorder="1" applyAlignment="1" applyProtection="1">
      <alignment horizontal="left" vertical="center"/>
    </xf>
    <xf numFmtId="0" fontId="67" fillId="3" borderId="104" xfId="0" applyFont="1" applyFill="1" applyBorder="1" applyAlignment="1" applyProtection="1">
      <alignment horizontal="left" vertical="center"/>
    </xf>
    <xf numFmtId="0" fontId="27" fillId="16" borderId="0" xfId="0" applyFont="1" applyFill="1" applyBorder="1" applyAlignment="1" applyProtection="1">
      <alignment horizontal="center" vertical="center"/>
    </xf>
    <xf numFmtId="0" fontId="62" fillId="0" borderId="0" xfId="0" applyFont="1" applyAlignment="1" applyProtection="1">
      <alignment horizontal="left" vertical="center"/>
    </xf>
    <xf numFmtId="0" fontId="42" fillId="9" borderId="77" xfId="0" applyFont="1" applyFill="1" applyBorder="1" applyAlignment="1" applyProtection="1">
      <alignment horizontal="center" vertical="center"/>
    </xf>
    <xf numFmtId="0" fontId="42" fillId="9" borderId="58" xfId="0" applyFont="1" applyFill="1" applyBorder="1" applyAlignment="1" applyProtection="1">
      <alignment horizontal="center" vertical="center" wrapText="1"/>
    </xf>
    <xf numFmtId="0" fontId="42" fillId="9" borderId="55" xfId="0" applyFont="1" applyFill="1" applyBorder="1" applyAlignment="1" applyProtection="1">
      <alignment horizontal="left" vertical="center" wrapText="1"/>
    </xf>
    <xf numFmtId="0" fontId="42" fillId="9" borderId="58" xfId="0" applyFont="1" applyFill="1" applyBorder="1" applyAlignment="1" applyProtection="1">
      <alignment horizontal="left" vertical="center" wrapText="1"/>
    </xf>
    <xf numFmtId="0" fontId="42" fillId="9" borderId="66" xfId="0" applyFont="1" applyFill="1" applyBorder="1" applyAlignment="1" applyProtection="1">
      <alignment horizontal="left" vertical="center" wrapText="1"/>
    </xf>
    <xf numFmtId="0" fontId="28" fillId="17" borderId="100" xfId="0" applyFont="1" applyFill="1" applyBorder="1" applyAlignment="1" applyProtection="1">
      <alignment horizontal="center" vertical="center"/>
    </xf>
    <xf numFmtId="0" fontId="28" fillId="17" borderId="114" xfId="0" applyFont="1" applyFill="1" applyBorder="1" applyAlignment="1" applyProtection="1">
      <alignment horizontal="center" vertical="center"/>
    </xf>
    <xf numFmtId="0" fontId="27" fillId="16" borderId="114" xfId="0" applyFont="1" applyFill="1" applyBorder="1" applyAlignment="1" applyProtection="1">
      <alignment horizontal="center" vertical="center"/>
    </xf>
    <xf numFmtId="0" fontId="27" fillId="0" borderId="100" xfId="0" applyFont="1" applyBorder="1" applyAlignment="1" applyProtection="1">
      <alignment horizontal="center" vertical="center"/>
    </xf>
    <xf numFmtId="0" fontId="28" fillId="4" borderId="114" xfId="0" applyFont="1" applyFill="1" applyBorder="1" applyAlignment="1" applyProtection="1">
      <alignment horizontal="center" vertical="center"/>
    </xf>
    <xf numFmtId="0" fontId="67" fillId="3" borderId="66" xfId="0" applyFont="1" applyFill="1" applyBorder="1" applyAlignment="1" applyProtection="1">
      <alignment horizontal="center" vertical="center"/>
    </xf>
    <xf numFmtId="0" fontId="67" fillId="3" borderId="66" xfId="0" applyFont="1" applyFill="1" applyBorder="1" applyAlignment="1" applyProtection="1">
      <alignment horizontal="left" vertical="center"/>
    </xf>
    <xf numFmtId="0" fontId="28" fillId="0" borderId="64" xfId="0" applyFont="1" applyFill="1" applyBorder="1" applyAlignment="1" applyProtection="1">
      <alignment horizontal="left" vertical="center" wrapText="1"/>
    </xf>
    <xf numFmtId="0" fontId="28" fillId="0" borderId="8" xfId="0" applyFont="1" applyFill="1" applyBorder="1" applyAlignment="1" applyProtection="1">
      <alignment horizontal="left" vertical="center" wrapText="1"/>
    </xf>
    <xf numFmtId="0" fontId="28" fillId="0" borderId="48" xfId="0" applyFont="1" applyFill="1" applyBorder="1" applyAlignment="1" applyProtection="1">
      <alignment horizontal="left" vertical="center" wrapText="1"/>
    </xf>
    <xf numFmtId="0" fontId="28" fillId="8" borderId="55" xfId="0" applyFont="1" applyFill="1" applyBorder="1" applyAlignment="1" applyProtection="1">
      <alignment horizontal="left" vertical="center" wrapText="1"/>
    </xf>
    <xf numFmtId="0" fontId="28" fillId="8" borderId="58" xfId="0" applyFont="1" applyFill="1" applyBorder="1" applyAlignment="1" applyProtection="1">
      <alignment horizontal="left" vertical="center" wrapText="1"/>
    </xf>
    <xf numFmtId="0" fontId="28" fillId="8" borderId="66" xfId="0" applyFont="1" applyFill="1" applyBorder="1" applyAlignment="1" applyProtection="1">
      <alignment horizontal="left" vertical="center" wrapText="1"/>
    </xf>
    <xf numFmtId="0" fontId="28" fillId="8" borderId="88" xfId="0" applyFont="1" applyFill="1" applyBorder="1" applyAlignment="1" applyProtection="1">
      <alignment horizontal="center" vertical="center" wrapText="1"/>
    </xf>
    <xf numFmtId="0" fontId="28" fillId="8" borderId="41" xfId="0" applyFont="1" applyFill="1" applyBorder="1" applyAlignment="1" applyProtection="1">
      <alignment horizontal="center" vertical="center" wrapText="1"/>
    </xf>
    <xf numFmtId="0" fontId="28" fillId="4" borderId="14" xfId="0" applyFont="1" applyFill="1" applyBorder="1" applyAlignment="1" applyProtection="1">
      <alignment horizontal="center" vertical="center" wrapText="1"/>
    </xf>
    <xf numFmtId="0" fontId="28" fillId="4" borderId="33" xfId="0" applyFont="1" applyFill="1" applyBorder="1" applyAlignment="1" applyProtection="1">
      <alignment horizontal="center" vertical="center" wrapText="1"/>
    </xf>
    <xf numFmtId="0" fontId="28" fillId="4" borderId="44" xfId="0" applyFont="1" applyFill="1" applyBorder="1" applyAlignment="1" applyProtection="1">
      <alignment horizontal="center" vertical="center" wrapText="1"/>
    </xf>
    <xf numFmtId="0" fontId="32" fillId="8" borderId="55" xfId="0" applyFont="1" applyFill="1" applyBorder="1" applyAlignment="1" applyProtection="1">
      <alignment horizontal="left" vertical="center" wrapText="1"/>
    </xf>
    <xf numFmtId="0" fontId="32" fillId="8" borderId="58" xfId="0" applyFont="1" applyFill="1" applyBorder="1" applyAlignment="1" applyProtection="1">
      <alignment horizontal="left" vertical="center" wrapText="1"/>
    </xf>
    <xf numFmtId="0" fontId="32" fillId="8" borderId="66" xfId="0" applyFont="1" applyFill="1" applyBorder="1" applyAlignment="1" applyProtection="1">
      <alignment horizontal="left" vertical="center" wrapText="1"/>
    </xf>
    <xf numFmtId="0" fontId="28" fillId="16" borderId="64" xfId="0" applyFont="1" applyFill="1" applyBorder="1" applyAlignment="1" applyProtection="1">
      <alignment horizontal="center" vertical="center" wrapText="1"/>
    </xf>
    <xf numFmtId="0" fontId="28" fillId="16" borderId="8" xfId="0" applyFont="1" applyFill="1" applyBorder="1" applyAlignment="1" applyProtection="1">
      <alignment horizontal="center" vertical="center" wrapText="1"/>
    </xf>
    <xf numFmtId="0" fontId="28" fillId="16" borderId="48" xfId="0" applyFont="1" applyFill="1" applyBorder="1" applyAlignment="1" applyProtection="1">
      <alignment horizontal="center" vertical="center" wrapText="1"/>
    </xf>
    <xf numFmtId="0" fontId="28" fillId="17" borderId="84" xfId="0" applyFont="1" applyFill="1" applyBorder="1" applyAlignment="1" applyProtection="1">
      <alignment horizontal="center" vertical="center" wrapText="1"/>
    </xf>
    <xf numFmtId="0" fontId="28" fillId="17" borderId="63" xfId="0" applyFont="1" applyFill="1" applyBorder="1" applyAlignment="1" applyProtection="1">
      <alignment horizontal="center" vertical="center" wrapText="1"/>
    </xf>
    <xf numFmtId="0" fontId="28" fillId="17" borderId="15" xfId="0" applyFont="1" applyFill="1" applyBorder="1" applyAlignment="1" applyProtection="1">
      <alignment horizontal="center" vertical="center" wrapText="1"/>
    </xf>
    <xf numFmtId="0" fontId="32" fillId="9" borderId="40" xfId="0" applyFont="1" applyFill="1" applyBorder="1" applyAlignment="1" applyProtection="1">
      <alignment horizontal="center" vertical="center" wrapText="1"/>
    </xf>
    <xf numFmtId="0" fontId="32" fillId="9" borderId="33" xfId="0" applyFont="1" applyFill="1" applyBorder="1" applyAlignment="1" applyProtection="1">
      <alignment horizontal="center" vertical="center" wrapText="1"/>
    </xf>
    <xf numFmtId="0" fontId="32" fillId="9" borderId="7" xfId="0" applyFont="1" applyFill="1" applyBorder="1" applyAlignment="1" applyProtection="1">
      <alignment horizontal="center" vertical="center" wrapText="1"/>
    </xf>
    <xf numFmtId="0" fontId="32" fillId="9" borderId="10" xfId="0" applyFont="1" applyFill="1" applyBorder="1" applyAlignment="1" applyProtection="1">
      <alignment horizontal="center" vertical="center" wrapText="1"/>
    </xf>
    <xf numFmtId="0" fontId="28" fillId="9" borderId="47" xfId="0" applyFont="1" applyFill="1" applyBorder="1" applyAlignment="1" applyProtection="1">
      <alignment horizontal="left" vertical="center" wrapText="1"/>
    </xf>
    <xf numFmtId="0" fontId="28" fillId="9" borderId="8" xfId="0" applyFont="1" applyFill="1" applyBorder="1" applyAlignment="1" applyProtection="1">
      <alignment horizontal="left" vertical="center" wrapText="1"/>
    </xf>
    <xf numFmtId="0" fontId="28" fillId="9" borderId="79" xfId="0" applyFont="1" applyFill="1" applyBorder="1" applyAlignment="1" applyProtection="1">
      <alignment horizontal="left" vertical="center" wrapText="1"/>
    </xf>
    <xf numFmtId="0" fontId="28" fillId="9" borderId="10" xfId="0" applyFont="1" applyFill="1" applyBorder="1" applyAlignment="1" applyProtection="1">
      <alignment horizontal="left" vertical="center" wrapText="1"/>
    </xf>
    <xf numFmtId="0" fontId="28" fillId="17" borderId="49" xfId="0" applyFont="1" applyFill="1" applyBorder="1" applyAlignment="1" applyProtection="1">
      <alignment horizontal="center" vertical="center" wrapText="1"/>
    </xf>
    <xf numFmtId="0" fontId="28" fillId="17" borderId="3" xfId="0" applyFont="1" applyFill="1" applyBorder="1" applyAlignment="1" applyProtection="1">
      <alignment horizontal="center" vertical="center" wrapText="1"/>
    </xf>
    <xf numFmtId="0" fontId="28" fillId="17" borderId="12" xfId="0" applyFont="1" applyFill="1" applyBorder="1" applyAlignment="1" applyProtection="1">
      <alignment horizontal="center" vertical="center" wrapText="1"/>
    </xf>
    <xf numFmtId="0" fontId="28" fillId="8" borderId="55" xfId="0" quotePrefix="1" applyFont="1" applyFill="1" applyBorder="1" applyAlignment="1" applyProtection="1">
      <alignment horizontal="left" vertical="center" wrapText="1"/>
    </xf>
    <xf numFmtId="0" fontId="28" fillId="8" borderId="40" xfId="0" applyFont="1" applyFill="1" applyBorder="1" applyAlignment="1" applyProtection="1">
      <alignment horizontal="left" vertical="center" wrapText="1"/>
    </xf>
    <xf numFmtId="0" fontId="28" fillId="16" borderId="40" xfId="0" applyFont="1" applyFill="1" applyBorder="1" applyAlignment="1" applyProtection="1">
      <alignment horizontal="center" vertical="center" wrapText="1"/>
    </xf>
    <xf numFmtId="0" fontId="28" fillId="16" borderId="33" xfId="0" applyFont="1" applyFill="1" applyBorder="1" applyAlignment="1" applyProtection="1">
      <alignment horizontal="center" vertical="center" wrapText="1"/>
    </xf>
    <xf numFmtId="0" fontId="28" fillId="16" borderId="44" xfId="0" applyFont="1" applyFill="1" applyBorder="1" applyAlignment="1" applyProtection="1">
      <alignment horizontal="center" vertical="center" wrapText="1"/>
    </xf>
    <xf numFmtId="0" fontId="42" fillId="7" borderId="55" xfId="0" applyFont="1" applyFill="1" applyBorder="1" applyAlignment="1" applyProtection="1">
      <alignment horizontal="left" vertical="center" wrapText="1"/>
    </xf>
    <xf numFmtId="0" fontId="42" fillId="7" borderId="58" xfId="0" applyFont="1" applyFill="1" applyBorder="1" applyAlignment="1" applyProtection="1">
      <alignment horizontal="left" vertical="center" wrapText="1"/>
    </xf>
    <xf numFmtId="0" fontId="28" fillId="4" borderId="130" xfId="0" applyFont="1" applyFill="1" applyBorder="1" applyAlignment="1" applyProtection="1">
      <alignment horizontal="center" vertical="center" wrapText="1"/>
    </xf>
    <xf numFmtId="0" fontId="28" fillId="16" borderId="130" xfId="0" applyFont="1" applyFill="1" applyBorder="1" applyAlignment="1" applyProtection="1">
      <alignment horizontal="center" vertical="center" wrapText="1"/>
    </xf>
    <xf numFmtId="0" fontId="28" fillId="17" borderId="78" xfId="0" applyFont="1" applyFill="1" applyBorder="1" applyAlignment="1" applyProtection="1">
      <alignment horizontal="center" vertical="center" wrapText="1"/>
    </xf>
    <xf numFmtId="0" fontId="28" fillId="17" borderId="65" xfId="0" applyFont="1" applyFill="1" applyBorder="1" applyAlignment="1" applyProtection="1">
      <alignment horizontal="center" vertical="center" wrapText="1"/>
    </xf>
    <xf numFmtId="0" fontId="28" fillId="17" borderId="77" xfId="0" applyFont="1" applyFill="1" applyBorder="1" applyAlignment="1" applyProtection="1">
      <alignment horizontal="center" vertical="center" wrapText="1"/>
    </xf>
    <xf numFmtId="0" fontId="28" fillId="9" borderId="68" xfId="0" applyFont="1" applyFill="1" applyBorder="1" applyAlignment="1" applyProtection="1">
      <alignment horizontal="left" vertical="center" wrapText="1"/>
    </xf>
    <xf numFmtId="0" fontId="28" fillId="9" borderId="45" xfId="0" applyFont="1" applyFill="1" applyBorder="1" applyAlignment="1" applyProtection="1">
      <alignment horizontal="left" vertical="center" wrapText="1"/>
    </xf>
    <xf numFmtId="0" fontId="28" fillId="24" borderId="3" xfId="0" applyFont="1" applyFill="1" applyBorder="1" applyAlignment="1" applyProtection="1">
      <alignment horizontal="left" vertical="center" wrapText="1"/>
    </xf>
    <xf numFmtId="0" fontId="28" fillId="24" borderId="42" xfId="0" applyFont="1" applyFill="1" applyBorder="1" applyAlignment="1" applyProtection="1">
      <alignment horizontal="left" vertical="center" wrapText="1"/>
    </xf>
    <xf numFmtId="0" fontId="62" fillId="24" borderId="40" xfId="0" applyFont="1" applyFill="1" applyBorder="1" applyAlignment="1" applyProtection="1">
      <alignment horizontal="center" vertical="center" wrapText="1"/>
    </xf>
    <xf numFmtId="0" fontId="62" fillId="24" borderId="33" xfId="0" applyFont="1" applyFill="1" applyBorder="1" applyAlignment="1" applyProtection="1">
      <alignment horizontal="center" vertical="center" wrapText="1"/>
    </xf>
    <xf numFmtId="0" fontId="62" fillId="24" borderId="131" xfId="0" applyFont="1" applyFill="1" applyBorder="1" applyAlignment="1" applyProtection="1">
      <alignment horizontal="center" vertical="center" wrapText="1"/>
    </xf>
    <xf numFmtId="0" fontId="62" fillId="24" borderId="7" xfId="0" applyFont="1" applyFill="1" applyBorder="1" applyAlignment="1" applyProtection="1">
      <alignment horizontal="center" vertical="center" wrapText="1"/>
    </xf>
    <xf numFmtId="0" fontId="62" fillId="24" borderId="10" xfId="0" applyFont="1" applyFill="1" applyBorder="1" applyAlignment="1" applyProtection="1">
      <alignment horizontal="center" vertical="center" wrapText="1"/>
    </xf>
    <xf numFmtId="0" fontId="62" fillId="24" borderId="2" xfId="0" applyFont="1" applyFill="1" applyBorder="1" applyAlignment="1" applyProtection="1">
      <alignment horizontal="center" vertical="center" wrapText="1"/>
    </xf>
    <xf numFmtId="0" fontId="28" fillId="0" borderId="50"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27" fillId="5" borderId="6" xfId="0" applyFont="1" applyFill="1" applyBorder="1" applyAlignment="1" applyProtection="1">
      <alignment horizontal="center" vertical="center"/>
      <protection locked="0"/>
    </xf>
    <xf numFmtId="0" fontId="32" fillId="7" borderId="55" xfId="0" applyFont="1" applyFill="1" applyBorder="1" applyAlignment="1" applyProtection="1">
      <alignment horizontal="left" vertical="center" wrapText="1"/>
    </xf>
    <xf numFmtId="0" fontId="32" fillId="7" borderId="58" xfId="0" applyFont="1" applyFill="1" applyBorder="1" applyAlignment="1" applyProtection="1">
      <alignment horizontal="left" vertical="center" wrapText="1"/>
    </xf>
    <xf numFmtId="0" fontId="28" fillId="4" borderId="55" xfId="0" applyFont="1" applyFill="1" applyBorder="1" applyAlignment="1" applyProtection="1">
      <alignment horizontal="center" vertical="center" wrapText="1"/>
    </xf>
    <xf numFmtId="0" fontId="28" fillId="4" borderId="58" xfId="0" applyFont="1" applyFill="1" applyBorder="1" applyAlignment="1" applyProtection="1">
      <alignment horizontal="center" vertical="center" wrapText="1"/>
    </xf>
    <xf numFmtId="0" fontId="28" fillId="4" borderId="66" xfId="0" applyFont="1" applyFill="1" applyBorder="1" applyAlignment="1" applyProtection="1">
      <alignment horizontal="center" vertical="center" wrapText="1"/>
    </xf>
    <xf numFmtId="0" fontId="28" fillId="8" borderId="49" xfId="0" applyFont="1" applyFill="1" applyBorder="1" applyAlignment="1" applyProtection="1">
      <alignment horizontal="center" vertical="center" wrapText="1"/>
    </xf>
    <xf numFmtId="0" fontId="28" fillId="8" borderId="47" xfId="0" applyFont="1" applyFill="1" applyBorder="1" applyAlignment="1" applyProtection="1">
      <alignment horizontal="center" vertical="center" wrapText="1"/>
    </xf>
    <xf numFmtId="0" fontId="28" fillId="12" borderId="55" xfId="0" applyFont="1" applyFill="1" applyBorder="1" applyAlignment="1" applyProtection="1">
      <alignment horizontal="center" vertical="center" wrapText="1"/>
    </xf>
    <xf numFmtId="0" fontId="28" fillId="12" borderId="66" xfId="0" applyFont="1" applyFill="1" applyBorder="1" applyAlignment="1" applyProtection="1">
      <alignment horizontal="center" vertical="center" wrapText="1"/>
    </xf>
    <xf numFmtId="0" fontId="27" fillId="0" borderId="50" xfId="0"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xf>
    <xf numFmtId="0" fontId="27" fillId="0" borderId="13" xfId="0" applyFont="1" applyFill="1" applyBorder="1" applyAlignment="1" applyProtection="1">
      <alignment horizontal="left" vertical="center" wrapText="1"/>
      <protection locked="0"/>
    </xf>
    <xf numFmtId="0" fontId="27" fillId="0" borderId="153" xfId="0" applyFont="1" applyFill="1" applyBorder="1" applyAlignment="1" applyProtection="1">
      <alignment horizontal="left" vertical="center" wrapText="1"/>
      <protection locked="0"/>
    </xf>
    <xf numFmtId="0" fontId="27" fillId="0" borderId="50" xfId="0" applyFont="1" applyFill="1" applyBorder="1" applyAlignment="1" applyProtection="1">
      <alignment horizontal="left" vertical="center"/>
    </xf>
    <xf numFmtId="0" fontId="27" fillId="0" borderId="1" xfId="0" applyFont="1" applyFill="1" applyBorder="1" applyAlignment="1" applyProtection="1">
      <alignment horizontal="left" vertical="center"/>
    </xf>
    <xf numFmtId="170" fontId="28" fillId="5" borderId="13" xfId="0" applyNumberFormat="1" applyFont="1" applyFill="1" applyBorder="1" applyAlignment="1" applyProtection="1">
      <alignment horizontal="center" vertical="center" wrapText="1"/>
      <protection locked="0"/>
    </xf>
    <xf numFmtId="170" fontId="28" fillId="5" borderId="6" xfId="0" applyNumberFormat="1" applyFont="1" applyFill="1" applyBorder="1" applyAlignment="1" applyProtection="1">
      <alignment horizontal="center" vertical="center" wrapText="1"/>
      <protection locked="0"/>
    </xf>
    <xf numFmtId="0" fontId="27" fillId="0" borderId="82" xfId="0" applyFont="1" applyFill="1" applyBorder="1" applyAlignment="1" applyProtection="1">
      <alignment horizontal="left" vertical="center" wrapText="1"/>
    </xf>
    <xf numFmtId="0" fontId="27" fillId="0" borderId="6" xfId="0" applyFont="1" applyFill="1" applyBorder="1" applyAlignment="1" applyProtection="1">
      <alignment horizontal="left" vertical="center" wrapText="1"/>
    </xf>
    <xf numFmtId="0" fontId="27" fillId="0" borderId="147" xfId="0" applyFont="1" applyFill="1" applyBorder="1" applyAlignment="1" applyProtection="1">
      <alignment horizontal="left" vertical="center" wrapText="1"/>
      <protection locked="0"/>
    </xf>
    <xf numFmtId="0" fontId="27" fillId="0" borderId="148" xfId="0" applyFont="1" applyFill="1" applyBorder="1" applyAlignment="1" applyProtection="1">
      <alignment horizontal="left" vertical="center" wrapText="1"/>
      <protection locked="0"/>
    </xf>
    <xf numFmtId="0" fontId="32" fillId="7" borderId="33" xfId="0" applyFont="1" applyFill="1" applyBorder="1" applyAlignment="1" applyProtection="1">
      <alignment horizontal="left" vertical="center" wrapText="1"/>
    </xf>
    <xf numFmtId="0" fontId="28" fillId="16" borderId="55" xfId="0" applyFont="1" applyFill="1" applyBorder="1" applyAlignment="1" applyProtection="1">
      <alignment horizontal="center" vertical="center" wrapText="1"/>
    </xf>
    <xf numFmtId="0" fontId="28" fillId="16" borderId="58" xfId="0" applyFont="1" applyFill="1" applyBorder="1" applyAlignment="1" applyProtection="1">
      <alignment horizontal="center" vertical="center" wrapText="1"/>
    </xf>
    <xf numFmtId="0" fontId="28" fillId="0" borderId="50" xfId="0" applyFont="1" applyFill="1" applyBorder="1" applyAlignment="1" applyProtection="1">
      <alignment horizontal="left" vertical="center"/>
    </xf>
    <xf numFmtId="0" fontId="28" fillId="0" borderId="1" xfId="0" applyFont="1" applyFill="1" applyBorder="1" applyAlignment="1" applyProtection="1">
      <alignment horizontal="left" vertical="center"/>
    </xf>
    <xf numFmtId="0" fontId="27" fillId="5" borderId="47" xfId="0" applyFont="1" applyFill="1" applyBorder="1" applyAlignment="1" applyProtection="1">
      <alignment horizontal="center" vertical="center"/>
      <protection locked="0"/>
    </xf>
    <xf numFmtId="0" fontId="27" fillId="5" borderId="5" xfId="0" applyFont="1" applyFill="1" applyBorder="1" applyAlignment="1" applyProtection="1">
      <alignment horizontal="center" vertical="center"/>
      <protection locked="0"/>
    </xf>
    <xf numFmtId="0" fontId="27" fillId="0" borderId="6" xfId="0" applyFont="1" applyFill="1" applyBorder="1" applyAlignment="1" applyProtection="1">
      <alignment horizontal="left" vertical="center" wrapText="1"/>
      <protection locked="0"/>
    </xf>
    <xf numFmtId="0" fontId="28" fillId="16" borderId="66" xfId="0" applyFont="1" applyFill="1" applyBorder="1" applyAlignment="1" applyProtection="1">
      <alignment horizontal="center" vertical="center" wrapText="1"/>
    </xf>
    <xf numFmtId="0" fontId="62" fillId="2" borderId="0" xfId="0" applyFont="1" applyFill="1" applyAlignment="1" applyProtection="1">
      <alignment horizontal="left" vertical="center" wrapText="1"/>
    </xf>
    <xf numFmtId="0" fontId="32" fillId="9" borderId="0" xfId="0" applyFont="1" applyFill="1" applyBorder="1" applyAlignment="1" applyProtection="1">
      <alignment horizontal="left" vertical="center"/>
    </xf>
    <xf numFmtId="0" fontId="28" fillId="11" borderId="55" xfId="0" applyFont="1" applyFill="1" applyBorder="1" applyAlignment="1" applyProtection="1">
      <alignment horizontal="center" vertical="center" wrapText="1"/>
    </xf>
    <xf numFmtId="0" fontId="28" fillId="11" borderId="58" xfId="0" applyFont="1" applyFill="1" applyBorder="1" applyAlignment="1" applyProtection="1">
      <alignment horizontal="center" vertical="center" wrapText="1"/>
    </xf>
    <xf numFmtId="0" fontId="28" fillId="11" borderId="66" xfId="0" applyFont="1" applyFill="1" applyBorder="1" applyAlignment="1" applyProtection="1">
      <alignment horizontal="center" vertical="center" wrapText="1"/>
    </xf>
    <xf numFmtId="0" fontId="27" fillId="0" borderId="55" xfId="0" applyFont="1" applyFill="1" applyBorder="1" applyAlignment="1" applyProtection="1">
      <alignment horizontal="left" vertical="top" wrapText="1"/>
      <protection locked="0"/>
    </xf>
    <xf numFmtId="0" fontId="27" fillId="0" borderId="58" xfId="0" applyFont="1" applyFill="1" applyBorder="1" applyAlignment="1" applyProtection="1">
      <alignment horizontal="left" vertical="top" wrapText="1"/>
      <protection locked="0"/>
    </xf>
    <xf numFmtId="0" fontId="27" fillId="0" borderId="66" xfId="0" applyFont="1" applyFill="1" applyBorder="1" applyAlignment="1" applyProtection="1">
      <alignment horizontal="left" vertical="top" wrapText="1"/>
      <protection locked="0"/>
    </xf>
    <xf numFmtId="0" fontId="28" fillId="11" borderId="55" xfId="0" applyFont="1" applyFill="1" applyBorder="1" applyAlignment="1" applyProtection="1">
      <alignment horizontal="left" vertical="center" wrapText="1"/>
    </xf>
    <xf numFmtId="0" fontId="28" fillId="11" borderId="58" xfId="0" applyFont="1" applyFill="1" applyBorder="1" applyAlignment="1" applyProtection="1">
      <alignment horizontal="left" vertical="center" wrapText="1"/>
    </xf>
    <xf numFmtId="0" fontId="28" fillId="11" borderId="36" xfId="0" applyFont="1" applyFill="1" applyBorder="1" applyAlignment="1" applyProtection="1">
      <alignment horizontal="left" vertical="center" wrapText="1"/>
    </xf>
    <xf numFmtId="0" fontId="27" fillId="11" borderId="36" xfId="0" applyFont="1" applyFill="1" applyBorder="1" applyProtection="1"/>
    <xf numFmtId="0" fontId="27" fillId="11" borderId="52" xfId="0" applyFont="1" applyFill="1" applyBorder="1" applyAlignment="1" applyProtection="1">
      <alignment horizontal="left" vertical="center"/>
    </xf>
    <xf numFmtId="0" fontId="27" fillId="11" borderId="39" xfId="0" applyFont="1" applyFill="1" applyBorder="1" applyAlignment="1" applyProtection="1">
      <alignment horizontal="left" vertical="center"/>
    </xf>
    <xf numFmtId="0" fontId="27" fillId="6" borderId="64" xfId="0" applyFont="1" applyFill="1" applyBorder="1" applyAlignment="1" applyProtection="1">
      <alignment horizontal="left" vertical="center"/>
      <protection locked="0"/>
    </xf>
    <xf numFmtId="0" fontId="27" fillId="6" borderId="8" xfId="0" applyFont="1" applyFill="1" applyBorder="1" applyAlignment="1" applyProtection="1">
      <alignment horizontal="left" vertical="center"/>
      <protection locked="0"/>
    </xf>
    <xf numFmtId="0" fontId="27" fillId="6" borderId="48" xfId="0" applyFont="1" applyFill="1" applyBorder="1" applyAlignment="1" applyProtection="1">
      <alignment horizontal="left" vertical="center"/>
      <protection locked="0"/>
    </xf>
    <xf numFmtId="0" fontId="27" fillId="11" borderId="50" xfId="0" applyFont="1" applyFill="1" applyBorder="1" applyAlignment="1" applyProtection="1">
      <alignment horizontal="left" vertical="center"/>
    </xf>
    <xf numFmtId="0" fontId="27" fillId="11" borderId="1" xfId="0" applyFont="1" applyFill="1" applyBorder="1" applyAlignment="1" applyProtection="1">
      <alignment horizontal="left" vertical="center"/>
    </xf>
    <xf numFmtId="0" fontId="27" fillId="6" borderId="82" xfId="0" applyFont="1" applyFill="1" applyBorder="1" applyAlignment="1" applyProtection="1">
      <alignment horizontal="left" vertical="center"/>
      <protection locked="0"/>
    </xf>
    <xf numFmtId="0" fontId="27" fillId="6" borderId="16" xfId="0" applyFont="1" applyFill="1" applyBorder="1" applyAlignment="1" applyProtection="1">
      <alignment horizontal="left" vertical="center"/>
      <protection locked="0"/>
    </xf>
    <xf numFmtId="0" fontId="27" fillId="6" borderId="37" xfId="0" applyFont="1" applyFill="1" applyBorder="1" applyAlignment="1" applyProtection="1">
      <alignment horizontal="left" vertical="center"/>
      <protection locked="0"/>
    </xf>
    <xf numFmtId="0" fontId="27" fillId="6" borderId="11" xfId="0" applyFont="1" applyFill="1" applyBorder="1" applyAlignment="1" applyProtection="1">
      <alignment horizontal="left" vertical="center" wrapText="1"/>
      <protection locked="0"/>
    </xf>
    <xf numFmtId="0" fontId="27" fillId="6" borderId="0" xfId="0" applyFont="1" applyFill="1" applyBorder="1" applyAlignment="1" applyProtection="1">
      <alignment horizontal="left" vertical="center" wrapText="1"/>
      <protection locked="0"/>
    </xf>
    <xf numFmtId="0" fontId="27" fillId="6" borderId="57" xfId="0" applyFont="1" applyFill="1" applyBorder="1" applyAlignment="1" applyProtection="1">
      <alignment horizontal="left" vertical="center"/>
      <protection locked="0"/>
    </xf>
    <xf numFmtId="0" fontId="27" fillId="6" borderId="20" xfId="0" applyFont="1" applyFill="1" applyBorder="1" applyAlignment="1" applyProtection="1">
      <alignment horizontal="left" vertical="center"/>
      <protection locked="0"/>
    </xf>
    <xf numFmtId="0" fontId="27" fillId="6" borderId="70" xfId="0" applyFont="1" applyFill="1" applyBorder="1" applyAlignment="1" applyProtection="1">
      <alignment horizontal="left" vertical="center"/>
      <protection locked="0"/>
    </xf>
    <xf numFmtId="0" fontId="27" fillId="11" borderId="82" xfId="0" applyFont="1" applyFill="1" applyBorder="1" applyAlignment="1" applyProtection="1">
      <alignment horizontal="left" vertical="center"/>
    </xf>
    <xf numFmtId="0" fontId="27" fillId="11" borderId="37" xfId="0" applyFont="1" applyFill="1" applyBorder="1" applyAlignment="1" applyProtection="1">
      <alignment horizontal="left" vertical="center"/>
    </xf>
    <xf numFmtId="0" fontId="27" fillId="6" borderId="149" xfId="0" applyFont="1" applyFill="1" applyBorder="1" applyAlignment="1" applyProtection="1">
      <alignment horizontal="left" vertical="center"/>
      <protection locked="0"/>
    </xf>
    <xf numFmtId="0" fontId="27" fillId="6" borderId="150" xfId="0" applyFont="1" applyFill="1" applyBorder="1" applyAlignment="1" applyProtection="1">
      <alignment horizontal="left" vertical="center"/>
      <protection locked="0"/>
    </xf>
    <xf numFmtId="0" fontId="27" fillId="11" borderId="69" xfId="0" applyFont="1" applyFill="1" applyBorder="1" applyAlignment="1" applyProtection="1">
      <alignment horizontal="left" vertical="center"/>
    </xf>
    <xf numFmtId="0" fontId="27" fillId="11" borderId="21" xfId="0" applyFont="1" applyFill="1" applyBorder="1" applyAlignment="1" applyProtection="1">
      <alignment horizontal="left" vertical="center"/>
    </xf>
    <xf numFmtId="0" fontId="27" fillId="6" borderId="80" xfId="0" applyFont="1" applyFill="1" applyBorder="1" applyAlignment="1" applyProtection="1">
      <alignment horizontal="left" vertical="center"/>
      <protection locked="0"/>
    </xf>
    <xf numFmtId="0" fontId="27" fillId="6" borderId="45" xfId="0" applyFont="1" applyFill="1" applyBorder="1" applyAlignment="1" applyProtection="1">
      <alignment horizontal="left" vertical="center"/>
      <protection locked="0"/>
    </xf>
    <xf numFmtId="0" fontId="27" fillId="6" borderId="46" xfId="0" applyFont="1" applyFill="1" applyBorder="1" applyAlignment="1" applyProtection="1">
      <alignment horizontal="left" vertical="center"/>
      <protection locked="0"/>
    </xf>
    <xf numFmtId="0" fontId="28" fillId="6" borderId="58" xfId="0" applyFont="1" applyFill="1" applyBorder="1" applyAlignment="1" applyProtection="1">
      <alignment horizontal="right" vertical="center"/>
    </xf>
    <xf numFmtId="0" fontId="28" fillId="6" borderId="0" xfId="0" applyFont="1" applyFill="1" applyBorder="1" applyAlignment="1" applyProtection="1">
      <alignment horizontal="right" vertical="center"/>
    </xf>
    <xf numFmtId="0" fontId="28" fillId="11" borderId="55" xfId="0" applyFont="1" applyFill="1" applyBorder="1" applyAlignment="1" applyProtection="1">
      <alignment horizontal="left" vertical="center"/>
    </xf>
    <xf numFmtId="0" fontId="28" fillId="11" borderId="58" xfId="0" applyFont="1" applyFill="1" applyBorder="1" applyAlignment="1" applyProtection="1">
      <alignment horizontal="left" vertical="center"/>
    </xf>
    <xf numFmtId="0" fontId="28" fillId="11" borderId="66" xfId="0" applyFont="1" applyFill="1" applyBorder="1" applyAlignment="1" applyProtection="1">
      <alignment horizontal="left" vertical="center"/>
    </xf>
    <xf numFmtId="0" fontId="27" fillId="6" borderId="55" xfId="0" applyFont="1" applyFill="1" applyBorder="1" applyAlignment="1" applyProtection="1">
      <alignment horizontal="left" vertical="center"/>
      <protection locked="0"/>
    </xf>
    <xf numFmtId="0" fontId="27" fillId="6" borderId="58" xfId="0" applyFont="1" applyFill="1" applyBorder="1" applyAlignment="1" applyProtection="1">
      <alignment horizontal="left" vertical="center"/>
      <protection locked="0"/>
    </xf>
    <xf numFmtId="0" fontId="27" fillId="6" borderId="66" xfId="0" applyFont="1" applyFill="1" applyBorder="1" applyAlignment="1" applyProtection="1">
      <alignment horizontal="left" vertical="center"/>
      <protection locked="0"/>
    </xf>
    <xf numFmtId="0" fontId="32" fillId="9" borderId="56" xfId="0" applyFont="1" applyFill="1" applyBorder="1" applyAlignment="1" applyProtection="1">
      <alignment horizontal="left" vertical="center"/>
    </xf>
    <xf numFmtId="0" fontId="28" fillId="16" borderId="74" xfId="0" applyFont="1" applyFill="1" applyBorder="1" applyAlignment="1" applyProtection="1">
      <alignment horizontal="center" vertical="center" wrapText="1"/>
    </xf>
    <xf numFmtId="0" fontId="27" fillId="16" borderId="65" xfId="0" applyFont="1" applyFill="1" applyBorder="1" applyAlignment="1" applyProtection="1">
      <alignment horizontal="center" vertical="center" wrapText="1"/>
    </xf>
    <xf numFmtId="0" fontId="27" fillId="16" borderId="65" xfId="0" applyFont="1" applyFill="1" applyBorder="1" applyAlignment="1" applyProtection="1">
      <alignment vertical="center" wrapText="1"/>
    </xf>
    <xf numFmtId="0" fontId="27" fillId="16" borderId="75" xfId="0" applyFont="1" applyFill="1" applyBorder="1" applyAlignment="1" applyProtection="1">
      <alignment vertical="center" wrapText="1"/>
    </xf>
    <xf numFmtId="0" fontId="27" fillId="2" borderId="58" xfId="0" applyFont="1" applyFill="1" applyBorder="1" applyAlignment="1" applyProtection="1">
      <alignment horizontal="left" vertical="center" wrapText="1"/>
      <protection locked="0"/>
    </xf>
    <xf numFmtId="0" fontId="27" fillId="0" borderId="58" xfId="0" applyFont="1" applyBorder="1" applyAlignment="1" applyProtection="1">
      <alignment horizontal="left" vertical="center" wrapText="1"/>
      <protection locked="0"/>
    </xf>
    <xf numFmtId="0" fontId="27" fillId="0" borderId="66" xfId="0" applyFont="1" applyBorder="1" applyAlignment="1" applyProtection="1">
      <alignment horizontal="left" vertical="center" wrapText="1"/>
      <protection locked="0"/>
    </xf>
    <xf numFmtId="0" fontId="28" fillId="16" borderId="74" xfId="0" applyFont="1" applyFill="1" applyBorder="1" applyAlignment="1" applyProtection="1">
      <alignment horizontal="left" vertical="center" wrapText="1"/>
    </xf>
    <xf numFmtId="0" fontId="27" fillId="16" borderId="77" xfId="0" applyFont="1" applyFill="1" applyBorder="1" applyAlignment="1" applyProtection="1">
      <alignment wrapText="1"/>
    </xf>
    <xf numFmtId="0" fontId="44" fillId="16" borderId="10" xfId="0" applyFont="1" applyFill="1" applyBorder="1" applyAlignment="1" applyProtection="1">
      <alignment horizontal="left" vertical="center" wrapText="1"/>
    </xf>
    <xf numFmtId="0" fontId="44" fillId="16" borderId="67" xfId="0" applyFont="1" applyFill="1" applyBorder="1" applyAlignment="1" applyProtection="1">
      <alignment horizontal="left" vertical="center" wrapText="1"/>
    </xf>
    <xf numFmtId="0" fontId="28" fillId="16" borderId="81" xfId="0" applyFont="1" applyFill="1" applyBorder="1" applyAlignment="1" applyProtection="1">
      <alignment horizontal="left" vertical="center"/>
    </xf>
    <xf numFmtId="0" fontId="28" fillId="16" borderId="79" xfId="0" applyFont="1" applyFill="1" applyBorder="1" applyAlignment="1" applyProtection="1">
      <alignment horizontal="left" vertical="center"/>
    </xf>
    <xf numFmtId="0" fontId="28" fillId="16" borderId="65" xfId="0" applyFont="1" applyFill="1" applyBorder="1" applyAlignment="1" applyProtection="1">
      <alignment horizontal="center" vertical="center" wrapText="1"/>
    </xf>
    <xf numFmtId="0" fontId="27" fillId="16" borderId="52" xfId="0" applyFont="1" applyFill="1" applyBorder="1" applyAlignment="1" applyProtection="1">
      <alignment horizontal="left" vertical="center"/>
    </xf>
    <xf numFmtId="0" fontId="27" fillId="16" borderId="39" xfId="0" applyFont="1" applyFill="1" applyBorder="1" applyAlignment="1" applyProtection="1">
      <alignment horizontal="left" vertical="center"/>
    </xf>
    <xf numFmtId="170" fontId="27" fillId="0" borderId="39" xfId="0" applyNumberFormat="1" applyFont="1" applyFill="1" applyBorder="1" applyAlignment="1" applyProtection="1">
      <alignment horizontal="left" vertical="center"/>
      <protection locked="0"/>
    </xf>
    <xf numFmtId="0" fontId="27" fillId="0" borderId="39" xfId="0" applyFont="1" applyBorder="1" applyAlignment="1" applyProtection="1">
      <alignment horizontal="left" vertical="center"/>
      <protection locked="0"/>
    </xf>
    <xf numFmtId="0" fontId="27" fillId="16" borderId="50" xfId="0" applyFont="1" applyFill="1" applyBorder="1" applyAlignment="1" applyProtection="1">
      <alignment horizontal="left" vertical="center"/>
    </xf>
    <xf numFmtId="0" fontId="27" fillId="16" borderId="1" xfId="0" applyFont="1" applyFill="1" applyBorder="1" applyAlignment="1" applyProtection="1">
      <alignment horizontal="left" vertical="center"/>
    </xf>
    <xf numFmtId="170" fontId="27" fillId="0" borderId="1" xfId="0" applyNumberFormat="1" applyFont="1" applyFill="1" applyBorder="1" applyAlignment="1" applyProtection="1">
      <alignment horizontal="left" vertical="center"/>
      <protection locked="0"/>
    </xf>
    <xf numFmtId="0" fontId="27" fillId="0" borderId="1" xfId="0" applyFont="1" applyBorder="1" applyAlignment="1" applyProtection="1">
      <alignment horizontal="left" vertical="center"/>
      <protection locked="0"/>
    </xf>
    <xf numFmtId="0" fontId="27" fillId="16" borderId="69" xfId="0" applyFont="1" applyFill="1" applyBorder="1" applyAlignment="1" applyProtection="1">
      <alignment horizontal="left" vertical="center"/>
    </xf>
    <xf numFmtId="0" fontId="27" fillId="16" borderId="21" xfId="0" applyFont="1" applyFill="1" applyBorder="1" applyAlignment="1" applyProtection="1">
      <alignment horizontal="left" vertical="center"/>
    </xf>
    <xf numFmtId="170" fontId="27" fillId="0" borderId="21" xfId="0" applyNumberFormat="1" applyFont="1" applyFill="1" applyBorder="1" applyAlignment="1" applyProtection="1">
      <alignment horizontal="left" vertical="center"/>
      <protection locked="0"/>
    </xf>
    <xf numFmtId="0" fontId="27" fillId="0" borderId="21" xfId="0" applyFont="1" applyBorder="1" applyAlignment="1" applyProtection="1">
      <alignment horizontal="left" vertical="center"/>
      <protection locked="0"/>
    </xf>
    <xf numFmtId="0" fontId="28" fillId="16" borderId="55" xfId="0" applyFont="1" applyFill="1" applyBorder="1" applyAlignment="1" applyProtection="1">
      <alignment horizontal="right" vertical="center"/>
    </xf>
    <xf numFmtId="0" fontId="28" fillId="16" borderId="78" xfId="0" applyFont="1" applyFill="1" applyBorder="1" applyAlignment="1" applyProtection="1">
      <alignment horizontal="right" vertical="center"/>
    </xf>
    <xf numFmtId="170" fontId="27" fillId="0" borderId="65" xfId="0" applyNumberFormat="1" applyFont="1" applyFill="1" applyBorder="1" applyAlignment="1" applyProtection="1">
      <alignment horizontal="left" vertical="center"/>
    </xf>
    <xf numFmtId="0" fontId="27" fillId="0" borderId="65" xfId="0" applyFont="1" applyBorder="1" applyAlignment="1" applyProtection="1">
      <alignment horizontal="left" vertical="center"/>
    </xf>
    <xf numFmtId="170" fontId="27" fillId="0" borderId="13" xfId="0" applyNumberFormat="1" applyFont="1" applyFill="1" applyBorder="1" applyAlignment="1" applyProtection="1">
      <alignment horizontal="left" vertical="center"/>
      <protection locked="0"/>
    </xf>
    <xf numFmtId="170" fontId="27" fillId="0" borderId="6" xfId="0" applyNumberFormat="1" applyFont="1" applyFill="1" applyBorder="1" applyAlignment="1" applyProtection="1">
      <alignment horizontal="left" vertical="center"/>
      <protection locked="0"/>
    </xf>
    <xf numFmtId="0" fontId="28" fillId="16" borderId="55" xfId="0" applyFont="1" applyFill="1" applyBorder="1" applyAlignment="1" applyProtection="1">
      <alignment horizontal="left" vertical="center" wrapText="1"/>
    </xf>
    <xf numFmtId="0" fontId="28" fillId="16" borderId="58" xfId="0" applyFont="1" applyFill="1" applyBorder="1" applyAlignment="1" applyProtection="1">
      <alignment horizontal="left" vertical="center" wrapText="1"/>
    </xf>
    <xf numFmtId="0" fontId="28" fillId="16" borderId="66" xfId="0" applyFont="1" applyFill="1" applyBorder="1" applyAlignment="1" applyProtection="1">
      <alignment horizontal="left" vertical="center" wrapText="1"/>
    </xf>
    <xf numFmtId="0" fontId="28" fillId="16" borderId="7" xfId="0" applyFont="1" applyFill="1" applyBorder="1" applyAlignment="1" applyProtection="1">
      <alignment horizontal="center" vertical="center" wrapText="1"/>
    </xf>
    <xf numFmtId="0" fontId="28" fillId="16" borderId="67" xfId="0" applyFont="1" applyFill="1" applyBorder="1" applyAlignment="1" applyProtection="1">
      <alignment horizontal="center" vertical="center" wrapText="1"/>
    </xf>
    <xf numFmtId="0" fontId="28" fillId="16" borderId="10" xfId="0" applyFont="1" applyFill="1" applyBorder="1" applyAlignment="1" applyProtection="1">
      <alignment horizontal="center" vertical="center" wrapText="1"/>
    </xf>
    <xf numFmtId="0" fontId="27" fillId="6" borderId="40" xfId="0" applyFont="1" applyFill="1" applyBorder="1" applyAlignment="1" applyProtection="1">
      <alignment horizontal="left" vertical="center"/>
      <protection locked="0"/>
    </xf>
    <xf numFmtId="0" fontId="27" fillId="6" borderId="33" xfId="0" applyFont="1" applyFill="1" applyBorder="1" applyAlignment="1" applyProtection="1">
      <alignment horizontal="left" vertical="center"/>
      <protection locked="0"/>
    </xf>
    <xf numFmtId="0" fontId="27" fillId="6" borderId="44" xfId="0" applyFont="1" applyFill="1" applyBorder="1" applyAlignment="1" applyProtection="1">
      <alignment horizontal="left" vertical="center"/>
      <protection locked="0"/>
    </xf>
    <xf numFmtId="0" fontId="27" fillId="6" borderId="55" xfId="1" applyNumberFormat="1" applyFont="1" applyFill="1" applyBorder="1" applyAlignment="1" applyProtection="1">
      <alignment horizontal="left" vertical="center" wrapText="1"/>
      <protection locked="0"/>
    </xf>
    <xf numFmtId="0" fontId="27" fillId="6" borderId="58" xfId="1" applyNumberFormat="1" applyFont="1" applyFill="1" applyBorder="1" applyAlignment="1" applyProtection="1">
      <alignment horizontal="left" vertical="center" wrapText="1"/>
      <protection locked="0"/>
    </xf>
    <xf numFmtId="0" fontId="27" fillId="6" borderId="66" xfId="1" applyNumberFormat="1" applyFont="1" applyFill="1" applyBorder="1" applyAlignment="1" applyProtection="1">
      <alignment horizontal="left" vertical="center" wrapText="1"/>
      <protection locked="0"/>
    </xf>
    <xf numFmtId="0" fontId="27" fillId="16" borderId="4" xfId="0" applyFont="1" applyFill="1" applyBorder="1" applyAlignment="1" applyProtection="1">
      <alignment horizontal="left" vertical="center"/>
    </xf>
    <xf numFmtId="0" fontId="27" fillId="16" borderId="87" xfId="0" applyFont="1" applyFill="1" applyBorder="1" applyAlignment="1" applyProtection="1">
      <alignment horizontal="left" vertical="center"/>
    </xf>
    <xf numFmtId="0" fontId="27" fillId="16" borderId="73" xfId="0" applyFont="1" applyFill="1" applyBorder="1" applyAlignment="1" applyProtection="1">
      <alignment horizontal="left" vertical="center"/>
    </xf>
    <xf numFmtId="0" fontId="27" fillId="16" borderId="51" xfId="0" applyFont="1" applyFill="1" applyBorder="1" applyAlignment="1" applyProtection="1">
      <alignment horizontal="left" vertical="center"/>
    </xf>
    <xf numFmtId="0" fontId="27" fillId="16" borderId="53" xfId="0" applyFont="1" applyFill="1" applyBorder="1" applyAlignment="1" applyProtection="1">
      <alignment horizontal="left" vertical="center"/>
    </xf>
    <xf numFmtId="0" fontId="42" fillId="9" borderId="0" xfId="0" applyFont="1" applyFill="1" applyBorder="1" applyAlignment="1" applyProtection="1">
      <alignment horizontal="left" vertical="center"/>
    </xf>
    <xf numFmtId="49" fontId="42" fillId="9" borderId="0"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wrapText="1"/>
    </xf>
    <xf numFmtId="49" fontId="44" fillId="2" borderId="0" xfId="0" applyNumberFormat="1" applyFont="1" applyFill="1" applyBorder="1" applyAlignment="1" applyProtection="1">
      <alignment horizontal="left" vertical="center" wrapText="1"/>
    </xf>
    <xf numFmtId="49" fontId="42" fillId="16" borderId="55" xfId="0" applyNumberFormat="1" applyFont="1" applyFill="1" applyBorder="1" applyAlignment="1" applyProtection="1">
      <alignment horizontal="center" vertical="center" wrapText="1"/>
    </xf>
    <xf numFmtId="0" fontId="42" fillId="16" borderId="58" xfId="0" applyFont="1" applyFill="1" applyBorder="1" applyAlignment="1" applyProtection="1">
      <alignment horizontal="center" vertical="center" wrapText="1"/>
    </xf>
    <xf numFmtId="0" fontId="42" fillId="17" borderId="40" xfId="0" applyFont="1" applyFill="1" applyBorder="1" applyAlignment="1" applyProtection="1">
      <alignment horizontal="center" vertical="center" wrapText="1"/>
    </xf>
    <xf numFmtId="0" fontId="42" fillId="17" borderId="44" xfId="0" applyFont="1" applyFill="1" applyBorder="1" applyAlignment="1" applyProtection="1">
      <alignment horizontal="center" vertical="center" wrapText="1"/>
    </xf>
    <xf numFmtId="0" fontId="22" fillId="0" borderId="35" xfId="0" applyFont="1" applyFill="1" applyBorder="1" applyAlignment="1" applyProtection="1">
      <alignment horizontal="left" vertical="center" wrapText="1"/>
      <protection locked="0"/>
    </xf>
    <xf numFmtId="0" fontId="22" fillId="0" borderId="73" xfId="0" applyFont="1" applyFill="1" applyBorder="1" applyAlignment="1" applyProtection="1">
      <alignment horizontal="left" vertical="center" wrapText="1"/>
      <protection locked="0"/>
    </xf>
    <xf numFmtId="0" fontId="42" fillId="16" borderId="40" xfId="0" applyFont="1" applyFill="1" applyBorder="1" applyAlignment="1" applyProtection="1">
      <alignment horizontal="center" vertical="center" wrapText="1"/>
    </xf>
    <xf numFmtId="0" fontId="42" fillId="16" borderId="33" xfId="0" applyFont="1" applyFill="1" applyBorder="1" applyAlignment="1" applyProtection="1">
      <alignment horizontal="center" vertical="center" wrapText="1"/>
    </xf>
    <xf numFmtId="0" fontId="42" fillId="17" borderId="0" xfId="0" applyFont="1" applyFill="1" applyBorder="1" applyAlignment="1" applyProtection="1">
      <alignment horizontal="center" vertical="center" wrapText="1"/>
    </xf>
    <xf numFmtId="0" fontId="22" fillId="0" borderId="16" xfId="0" applyFont="1" applyFill="1" applyBorder="1" applyAlignment="1" applyProtection="1">
      <alignment horizontal="left" vertical="center" wrapText="1"/>
      <protection locked="0"/>
    </xf>
    <xf numFmtId="0" fontId="22" fillId="0" borderId="37" xfId="0" applyFont="1" applyFill="1" applyBorder="1" applyAlignment="1" applyProtection="1">
      <alignment horizontal="left" vertical="center" wrapText="1"/>
      <protection locked="0"/>
    </xf>
    <xf numFmtId="0" fontId="23" fillId="0" borderId="68" xfId="0" applyFont="1" applyFill="1" applyBorder="1" applyAlignment="1" applyProtection="1">
      <alignment horizontal="left" vertical="center" wrapText="1"/>
      <protection locked="0"/>
    </xf>
    <xf numFmtId="0" fontId="23" fillId="0" borderId="45" xfId="0" applyFont="1" applyFill="1" applyBorder="1" applyAlignment="1" applyProtection="1">
      <alignment horizontal="left" vertical="center" wrapText="1"/>
      <protection locked="0"/>
    </xf>
    <xf numFmtId="49" fontId="23" fillId="0" borderId="46" xfId="0" applyNumberFormat="1" applyFont="1" applyFill="1" applyBorder="1" applyAlignment="1" applyProtection="1">
      <alignment horizontal="left" vertical="center" wrapText="1"/>
      <protection locked="0"/>
    </xf>
    <xf numFmtId="0" fontId="22" fillId="6" borderId="7" xfId="0" applyFont="1" applyFill="1" applyBorder="1" applyAlignment="1" applyProtection="1">
      <alignment horizontal="center" vertical="center" wrapText="1"/>
      <protection locked="0"/>
    </xf>
    <xf numFmtId="0" fontId="22" fillId="6" borderId="10" xfId="0" applyFont="1" applyFill="1" applyBorder="1" applyAlignment="1" applyProtection="1">
      <alignment horizontal="center" vertical="center" wrapText="1"/>
      <protection locked="0"/>
    </xf>
    <xf numFmtId="49" fontId="22" fillId="6" borderId="1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xf>
    <xf numFmtId="0" fontId="28" fillId="0" borderId="0" xfId="0" applyFont="1" applyFill="1" applyBorder="1" applyAlignment="1" applyProtection="1">
      <alignment horizontal="left" vertical="top" wrapText="1"/>
    </xf>
    <xf numFmtId="0" fontId="23" fillId="0" borderId="13" xfId="0" applyFont="1" applyFill="1" applyBorder="1" applyAlignment="1" applyProtection="1">
      <alignment horizontal="left" vertical="center" wrapText="1"/>
      <protection locked="0"/>
    </xf>
    <xf numFmtId="0" fontId="23" fillId="0" borderId="16" xfId="0" applyFont="1" applyFill="1" applyBorder="1" applyAlignment="1" applyProtection="1">
      <alignment horizontal="left" vertical="center" wrapText="1"/>
      <protection locked="0"/>
    </xf>
    <xf numFmtId="49" fontId="23" fillId="0" borderId="37" xfId="0" applyNumberFormat="1" applyFont="1" applyFill="1" applyBorder="1" applyAlignment="1" applyProtection="1">
      <alignment horizontal="left" vertical="center" wrapText="1"/>
      <protection locked="0"/>
    </xf>
    <xf numFmtId="0" fontId="23" fillId="0" borderId="54" xfId="0" applyFont="1" applyFill="1" applyBorder="1" applyAlignment="1" applyProtection="1">
      <alignment horizontal="left" vertical="center" wrapText="1"/>
      <protection locked="0"/>
    </xf>
    <xf numFmtId="0" fontId="23" fillId="0" borderId="35" xfId="0" applyFont="1" applyFill="1" applyBorder="1" applyAlignment="1" applyProtection="1">
      <alignment horizontal="left" vertical="center" wrapText="1"/>
      <protection locked="0"/>
    </xf>
    <xf numFmtId="49" fontId="23" fillId="0" borderId="73" xfId="0" applyNumberFormat="1" applyFont="1" applyFill="1" applyBorder="1" applyAlignment="1" applyProtection="1">
      <alignment horizontal="left" vertical="center" wrapText="1"/>
      <protection locked="0"/>
    </xf>
    <xf numFmtId="0" fontId="42" fillId="16" borderId="0" xfId="0" applyFont="1" applyFill="1" applyBorder="1" applyAlignment="1" applyProtection="1">
      <alignment horizontal="left" vertical="center" wrapText="1"/>
    </xf>
    <xf numFmtId="2" fontId="33" fillId="0" borderId="0" xfId="0" applyNumberFormat="1" applyFont="1" applyFill="1" applyBorder="1" applyAlignment="1" applyProtection="1">
      <alignment horizontal="left" vertical="center" wrapText="1" indent="2"/>
    </xf>
    <xf numFmtId="2" fontId="49" fillId="0" borderId="0" xfId="0" applyNumberFormat="1" applyFont="1" applyFill="1" applyBorder="1" applyAlignment="1" applyProtection="1">
      <alignment horizontal="left" vertical="center" wrapText="1" indent="2"/>
    </xf>
    <xf numFmtId="0" fontId="42" fillId="11" borderId="35" xfId="0" applyFont="1" applyFill="1" applyBorder="1" applyAlignment="1" applyProtection="1">
      <alignment horizontal="left" vertical="center"/>
    </xf>
    <xf numFmtId="0" fontId="23" fillId="0" borderId="147" xfId="0" applyFont="1" applyFill="1" applyBorder="1" applyAlignment="1" applyProtection="1">
      <alignment horizontal="left" vertical="center" wrapText="1"/>
      <protection locked="0"/>
    </xf>
    <xf numFmtId="0" fontId="23" fillId="0" borderId="151" xfId="0" applyFont="1" applyFill="1" applyBorder="1" applyAlignment="1" applyProtection="1">
      <alignment horizontal="left" vertical="center" wrapText="1"/>
      <protection locked="0"/>
    </xf>
    <xf numFmtId="0" fontId="23" fillId="0" borderId="148" xfId="0" applyFont="1" applyFill="1" applyBorder="1" applyAlignment="1" applyProtection="1">
      <alignment horizontal="left" vertical="center" wrapText="1"/>
      <protection locked="0"/>
    </xf>
    <xf numFmtId="0" fontId="0" fillId="0" borderId="152"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54" xfId="0"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0" fillId="0" borderId="83" xfId="0"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protection locked="0"/>
    </xf>
    <xf numFmtId="0" fontId="23" fillId="2" borderId="20" xfId="0" applyFont="1" applyFill="1" applyBorder="1" applyAlignment="1" applyProtection="1">
      <alignment horizontal="left" vertical="center" wrapText="1"/>
      <protection locked="0"/>
    </xf>
    <xf numFmtId="0" fontId="23" fillId="2" borderId="19" xfId="0" applyFont="1" applyFill="1" applyBorder="1" applyAlignment="1" applyProtection="1">
      <alignment horizontal="left" vertical="center" wrapText="1"/>
      <protection locked="0"/>
    </xf>
    <xf numFmtId="0" fontId="23" fillId="2" borderId="17" xfId="0" applyFont="1" applyFill="1" applyBorder="1" applyAlignment="1" applyProtection="1">
      <alignment horizontal="left" vertical="center" wrapText="1"/>
      <protection locked="0"/>
    </xf>
    <xf numFmtId="0" fontId="23" fillId="2" borderId="0"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wrapText="1"/>
      <protection locked="0"/>
    </xf>
    <xf numFmtId="0" fontId="23" fillId="2" borderId="35" xfId="0" applyFont="1" applyFill="1" applyBorder="1" applyAlignment="1" applyProtection="1">
      <alignment horizontal="left" vertical="center" wrapText="1"/>
      <protection locked="0"/>
    </xf>
    <xf numFmtId="0" fontId="23" fillId="2" borderId="83" xfId="0" applyFont="1" applyFill="1" applyBorder="1" applyAlignment="1" applyProtection="1">
      <alignment horizontal="left" vertical="center" wrapText="1"/>
      <protection locked="0"/>
    </xf>
    <xf numFmtId="0" fontId="42" fillId="11" borderId="0" xfId="0" applyFont="1" applyFill="1" applyBorder="1" applyAlignment="1" applyProtection="1">
      <alignment horizontal="left" vertical="center" wrapText="1"/>
    </xf>
    <xf numFmtId="0" fontId="36" fillId="6" borderId="0" xfId="0" applyFont="1" applyFill="1" applyBorder="1" applyAlignment="1" applyProtection="1">
      <alignment horizontal="left" vertical="center"/>
    </xf>
    <xf numFmtId="0" fontId="23" fillId="2" borderId="1" xfId="0" applyFont="1" applyFill="1" applyBorder="1" applyAlignment="1" applyProtection="1">
      <alignment horizontal="left" vertical="center" wrapText="1"/>
      <protection locked="0"/>
    </xf>
    <xf numFmtId="0" fontId="26" fillId="0" borderId="1" xfId="0" applyFont="1" applyBorder="1" applyAlignment="1" applyProtection="1">
      <alignment wrapText="1"/>
      <protection locked="0"/>
    </xf>
    <xf numFmtId="0" fontId="42" fillId="16" borderId="83" xfId="0" applyFont="1" applyFill="1" applyBorder="1" applyAlignment="1" applyProtection="1">
      <alignment vertical="center"/>
    </xf>
    <xf numFmtId="0" fontId="52" fillId="16" borderId="39" xfId="0" applyFont="1" applyFill="1" applyBorder="1" applyAlignment="1" applyProtection="1"/>
    <xf numFmtId="0" fontId="52" fillId="16" borderId="54" xfId="0" applyFont="1" applyFill="1" applyBorder="1" applyAlignment="1" applyProtection="1"/>
    <xf numFmtId="0" fontId="26" fillId="0" borderId="1" xfId="0" applyFont="1" applyBorder="1" applyAlignment="1" applyProtection="1">
      <protection locked="0"/>
    </xf>
    <xf numFmtId="0" fontId="62" fillId="2" borderId="0" xfId="0" applyFont="1" applyFill="1" applyAlignment="1" applyProtection="1">
      <alignment horizontal="left" wrapText="1"/>
    </xf>
    <xf numFmtId="0" fontId="42" fillId="0" borderId="22" xfId="0" applyFont="1" applyFill="1" applyBorder="1" applyAlignment="1" applyProtection="1">
      <alignment horizontal="left" vertical="center" wrapText="1"/>
    </xf>
    <xf numFmtId="0" fontId="42" fillId="0" borderId="27" xfId="0" applyFont="1" applyFill="1" applyBorder="1" applyAlignment="1" applyProtection="1">
      <alignment horizontal="left" vertical="center" wrapText="1"/>
    </xf>
    <xf numFmtId="0" fontId="68" fillId="9" borderId="102" xfId="5" applyFont="1" applyFill="1" applyBorder="1" applyAlignment="1" applyProtection="1">
      <alignment horizontal="left" vertical="center"/>
    </xf>
    <xf numFmtId="0" fontId="68" fillId="9" borderId="99" xfId="5" applyFont="1" applyFill="1" applyBorder="1" applyAlignment="1" applyProtection="1">
      <alignment horizontal="left" vertical="center"/>
    </xf>
    <xf numFmtId="0" fontId="68" fillId="9" borderId="136" xfId="5" applyFont="1" applyFill="1" applyBorder="1" applyAlignment="1" applyProtection="1">
      <alignment horizontal="left" vertical="center"/>
    </xf>
    <xf numFmtId="0" fontId="68" fillId="9" borderId="106" xfId="5" applyFont="1" applyFill="1" applyBorder="1" applyAlignment="1" applyProtection="1">
      <alignment horizontal="left" vertical="center"/>
    </xf>
    <xf numFmtId="0" fontId="62" fillId="0" borderId="0" xfId="5" applyFont="1" applyBorder="1" applyAlignment="1" applyProtection="1">
      <alignment horizontal="left" vertical="center" wrapText="1"/>
    </xf>
    <xf numFmtId="0" fontId="28" fillId="24" borderId="64" xfId="0" applyFont="1" applyFill="1" applyBorder="1" applyAlignment="1" applyProtection="1">
      <alignment horizontal="center" vertical="center" wrapText="1"/>
    </xf>
    <xf numFmtId="0" fontId="28" fillId="24" borderId="8" xfId="0" applyFont="1" applyFill="1" applyBorder="1" applyAlignment="1" applyProtection="1">
      <alignment horizontal="center" vertical="center" wrapText="1"/>
    </xf>
    <xf numFmtId="0" fontId="28" fillId="24" borderId="7" xfId="0" applyFont="1" applyFill="1" applyBorder="1" applyAlignment="1" applyProtection="1">
      <alignment horizontal="center" vertical="center" wrapText="1"/>
    </xf>
    <xf numFmtId="0" fontId="28" fillId="24" borderId="10" xfId="0" applyFont="1" applyFill="1" applyBorder="1" applyAlignment="1" applyProtection="1">
      <alignment horizontal="center" vertical="center" wrapText="1"/>
    </xf>
    <xf numFmtId="0" fontId="28" fillId="24" borderId="47" xfId="0" applyFont="1" applyFill="1" applyBorder="1" applyAlignment="1" applyProtection="1">
      <alignment horizontal="left" vertical="center" wrapText="1"/>
    </xf>
    <xf numFmtId="0" fontId="28" fillId="24" borderId="8" xfId="0" applyFont="1" applyFill="1" applyBorder="1" applyAlignment="1" applyProtection="1">
      <alignment horizontal="left" vertical="center" wrapText="1"/>
    </xf>
    <xf numFmtId="0" fontId="28" fillId="24" borderId="68" xfId="0" applyFont="1" applyFill="1" applyBorder="1" applyAlignment="1" applyProtection="1">
      <alignment horizontal="left" vertical="center" wrapText="1"/>
    </xf>
    <xf numFmtId="0" fontId="28" fillId="24" borderId="45" xfId="0" applyFont="1" applyFill="1" applyBorder="1" applyAlignment="1" applyProtection="1">
      <alignment horizontal="left" vertical="center" wrapText="1"/>
    </xf>
    <xf numFmtId="0" fontId="68" fillId="8" borderId="55" xfId="57" applyFont="1" applyFill="1" applyBorder="1" applyAlignment="1" applyProtection="1">
      <alignment horizontal="center" vertical="center" wrapText="1"/>
    </xf>
    <xf numFmtId="0" fontId="68" fillId="8" borderId="58" xfId="57" applyFont="1" applyFill="1" applyBorder="1" applyAlignment="1" applyProtection="1">
      <alignment horizontal="center" vertical="center" wrapText="1"/>
    </xf>
    <xf numFmtId="0" fontId="68" fillId="8" borderId="66" xfId="57" applyFont="1" applyFill="1" applyBorder="1" applyAlignment="1" applyProtection="1">
      <alignment horizontal="center" vertical="center" wrapText="1"/>
    </xf>
    <xf numFmtId="0" fontId="80" fillId="0" borderId="34" xfId="5" applyFont="1" applyBorder="1" applyAlignment="1" applyProtection="1">
      <alignment horizontal="left" wrapText="1"/>
    </xf>
    <xf numFmtId="0" fontId="23" fillId="12" borderId="125" xfId="57" applyFont="1" applyFill="1" applyBorder="1" applyAlignment="1" applyProtection="1">
      <alignment horizontal="center" vertical="center"/>
    </xf>
    <xf numFmtId="173" fontId="23" fillId="16" borderId="125" xfId="57" applyNumberFormat="1" applyFont="1" applyFill="1" applyBorder="1" applyAlignment="1" applyProtection="1">
      <alignment horizontal="center" vertical="center" wrapText="1"/>
    </xf>
    <xf numFmtId="0" fontId="42" fillId="8" borderId="47" xfId="6" applyFont="1" applyFill="1" applyBorder="1" applyAlignment="1" applyProtection="1">
      <alignment horizontal="left" vertical="center" wrapText="1"/>
    </xf>
    <xf numFmtId="0" fontId="42" fillId="8" borderId="8" xfId="6" applyFont="1" applyFill="1" applyBorder="1" applyAlignment="1" applyProtection="1">
      <alignment horizontal="left" vertical="center" wrapText="1"/>
    </xf>
    <xf numFmtId="0" fontId="42" fillId="8" borderId="68" xfId="6" applyFont="1" applyFill="1" applyBorder="1" applyAlignment="1" applyProtection="1">
      <alignment horizontal="left" vertical="center" wrapText="1"/>
    </xf>
    <xf numFmtId="0" fontId="42" fillId="8" borderId="45" xfId="6" applyFont="1" applyFill="1" applyBorder="1" applyAlignment="1" applyProtection="1">
      <alignment horizontal="left" vertical="center" wrapText="1"/>
    </xf>
    <xf numFmtId="0" fontId="26" fillId="0" borderId="1" xfId="0" applyFont="1" applyBorder="1" applyAlignment="1" applyProtection="1">
      <alignment horizontal="left" vertical="center"/>
    </xf>
    <xf numFmtId="0" fontId="22" fillId="6" borderId="28" xfId="0" applyFont="1" applyFill="1" applyBorder="1" applyAlignment="1" applyProtection="1">
      <alignment horizontal="left" vertical="center"/>
    </xf>
    <xf numFmtId="0" fontId="22" fillId="6" borderId="27" xfId="0" applyFont="1" applyFill="1" applyBorder="1" applyAlignment="1" applyProtection="1">
      <alignment horizontal="left" vertical="center"/>
    </xf>
    <xf numFmtId="0" fontId="22" fillId="6" borderId="32" xfId="0" applyFont="1" applyFill="1" applyBorder="1" applyAlignment="1" applyProtection="1">
      <alignment horizontal="left" vertical="center"/>
    </xf>
    <xf numFmtId="0" fontId="26" fillId="0" borderId="1" xfId="0" applyFont="1" applyBorder="1" applyAlignment="1" applyProtection="1">
      <alignment horizontal="left" vertical="center" wrapText="1"/>
    </xf>
    <xf numFmtId="0" fontId="60" fillId="16" borderId="0" xfId="0" applyFont="1" applyFill="1" applyBorder="1" applyAlignment="1" applyProtection="1">
      <alignment horizontal="center" vertical="center"/>
    </xf>
    <xf numFmtId="0" fontId="42" fillId="23" borderId="68" xfId="0" applyFont="1" applyFill="1" applyBorder="1" applyAlignment="1" applyProtection="1">
      <alignment horizontal="center"/>
    </xf>
    <xf numFmtId="0" fontId="42" fillId="23" borderId="45" xfId="0" applyFont="1" applyFill="1" applyBorder="1" applyAlignment="1" applyProtection="1">
      <alignment horizontal="center"/>
    </xf>
    <xf numFmtId="0" fontId="42" fillId="23" borderId="72" xfId="0" applyFont="1" applyFill="1" applyBorder="1" applyAlignment="1" applyProtection="1">
      <alignment horizontal="center"/>
    </xf>
    <xf numFmtId="0" fontId="42" fillId="23" borderId="21" xfId="0" applyFont="1" applyFill="1" applyBorder="1" applyAlignment="1" applyProtection="1">
      <alignment horizontal="center"/>
    </xf>
    <xf numFmtId="0" fontId="35" fillId="0" borderId="0" xfId="0" applyFont="1" applyAlignment="1" applyProtection="1">
      <alignment horizontal="left" wrapText="1"/>
    </xf>
    <xf numFmtId="0" fontId="64" fillId="10" borderId="0" xfId="0" applyFont="1" applyFill="1" applyAlignment="1" applyProtection="1">
      <alignment horizontal="center" vertical="center" wrapText="1"/>
    </xf>
    <xf numFmtId="0" fontId="60" fillId="12" borderId="0" xfId="0" applyFont="1" applyFill="1" applyAlignment="1" applyProtection="1">
      <alignment horizontal="center" vertical="center"/>
    </xf>
    <xf numFmtId="0" fontId="42" fillId="12" borderId="21" xfId="0" applyFont="1" applyFill="1" applyBorder="1" applyAlignment="1" applyProtection="1">
      <alignment horizontal="center"/>
    </xf>
    <xf numFmtId="0" fontId="27" fillId="24" borderId="47" xfId="6" applyFont="1" applyFill="1" applyBorder="1" applyAlignment="1" applyProtection="1">
      <alignment horizontal="left" vertical="center" wrapText="1"/>
    </xf>
    <xf numFmtId="0" fontId="27" fillId="24" borderId="8" xfId="6" applyFont="1" applyFill="1" applyBorder="1" applyAlignment="1" applyProtection="1">
      <alignment horizontal="left" vertical="center" wrapText="1"/>
    </xf>
    <xf numFmtId="0" fontId="27" fillId="24" borderId="68" xfId="6" applyFont="1" applyFill="1" applyBorder="1" applyAlignment="1" applyProtection="1">
      <alignment horizontal="left" vertical="center" wrapText="1"/>
    </xf>
    <xf numFmtId="0" fontId="27" fillId="24" borderId="45" xfId="6" applyFont="1" applyFill="1" applyBorder="1" applyAlignment="1" applyProtection="1">
      <alignment horizontal="left" vertical="center" wrapText="1"/>
    </xf>
    <xf numFmtId="0" fontId="2" fillId="0" borderId="13" xfId="103" applyBorder="1" applyAlignment="1" applyProtection="1">
      <alignment horizontal="left"/>
      <protection locked="0"/>
    </xf>
    <xf numFmtId="0" fontId="2" fillId="0" borderId="153" xfId="103" applyBorder="1" applyAlignment="1" applyProtection="1">
      <alignment horizontal="left"/>
      <protection locked="0"/>
    </xf>
    <xf numFmtId="0" fontId="28" fillId="6" borderId="80" xfId="103" applyFont="1" applyFill="1" applyBorder="1" applyAlignment="1" applyProtection="1">
      <alignment horizontal="left" vertical="center" wrapText="1"/>
    </xf>
    <xf numFmtId="0" fontId="28" fillId="6" borderId="46" xfId="103" applyFont="1" applyFill="1" applyBorder="1" applyAlignment="1" applyProtection="1">
      <alignment horizontal="left" vertical="center" wrapText="1"/>
    </xf>
    <xf numFmtId="0" fontId="28" fillId="4" borderId="55" xfId="103" applyFont="1" applyFill="1" applyBorder="1" applyAlignment="1" applyProtection="1">
      <alignment horizontal="center" vertical="center" wrapText="1"/>
    </xf>
    <xf numFmtId="0" fontId="28" fillId="4" borderId="58" xfId="103" applyFont="1" applyFill="1" applyBorder="1" applyAlignment="1" applyProtection="1">
      <alignment horizontal="center" vertical="center" wrapText="1"/>
    </xf>
    <xf numFmtId="0" fontId="28" fillId="4" borderId="66" xfId="103" applyFont="1" applyFill="1" applyBorder="1" applyAlignment="1" applyProtection="1">
      <alignment horizontal="center" vertical="center" wrapText="1"/>
    </xf>
    <xf numFmtId="0" fontId="28" fillId="25" borderId="40" xfId="103" applyFont="1" applyFill="1" applyBorder="1" applyAlignment="1" applyProtection="1">
      <alignment horizontal="center" vertical="center" wrapText="1"/>
    </xf>
    <xf numFmtId="0" fontId="28" fillId="25" borderId="58" xfId="103" applyFont="1" applyFill="1" applyBorder="1" applyAlignment="1" applyProtection="1">
      <alignment horizontal="center" vertical="center" wrapText="1"/>
    </xf>
    <xf numFmtId="0" fontId="28" fillId="25" borderId="66" xfId="103" applyFont="1" applyFill="1" applyBorder="1" applyAlignment="1" applyProtection="1">
      <alignment horizontal="center" vertical="center" wrapText="1"/>
    </xf>
    <xf numFmtId="0" fontId="28" fillId="16" borderId="55" xfId="103" applyFont="1" applyFill="1" applyBorder="1" applyAlignment="1" applyProtection="1">
      <alignment horizontal="center" vertical="center" wrapText="1"/>
    </xf>
    <xf numFmtId="0" fontId="28" fillId="16" borderId="58" xfId="103" applyFont="1" applyFill="1" applyBorder="1" applyAlignment="1" applyProtection="1">
      <alignment horizontal="center" vertical="center" wrapText="1"/>
    </xf>
    <xf numFmtId="0" fontId="28" fillId="16" borderId="66" xfId="103" applyFont="1" applyFill="1" applyBorder="1" applyAlignment="1" applyProtection="1">
      <alignment horizontal="center" vertical="center" wrapText="1"/>
    </xf>
    <xf numFmtId="0" fontId="28" fillId="4" borderId="64" xfId="103" applyFont="1" applyFill="1" applyBorder="1" applyAlignment="1" applyProtection="1">
      <alignment horizontal="left" vertical="center" wrapText="1"/>
    </xf>
    <xf numFmtId="0" fontId="28" fillId="4" borderId="48" xfId="103" applyFont="1" applyFill="1" applyBorder="1" applyAlignment="1" applyProtection="1">
      <alignment horizontal="left" vertical="center" wrapText="1"/>
    </xf>
    <xf numFmtId="0" fontId="1" fillId="0" borderId="13" xfId="103" applyFont="1" applyBorder="1" applyAlignment="1" applyProtection="1">
      <alignment horizontal="left"/>
      <protection locked="0"/>
    </xf>
    <xf numFmtId="0" fontId="35" fillId="11" borderId="0" xfId="0" applyFont="1" applyFill="1" applyAlignment="1" applyProtection="1">
      <alignment horizontal="left" wrapText="1"/>
    </xf>
    <xf numFmtId="0" fontId="26" fillId="2" borderId="0" xfId="0" applyFont="1" applyFill="1" applyBorder="1" applyAlignment="1" applyProtection="1">
      <alignment horizontal="left" wrapText="1"/>
    </xf>
    <xf numFmtId="0" fontId="60" fillId="2" borderId="10" xfId="0" applyFont="1" applyFill="1" applyBorder="1" applyAlignment="1" applyProtection="1">
      <alignment horizontal="left" vertical="center" wrapText="1"/>
    </xf>
    <xf numFmtId="0" fontId="22" fillId="8" borderId="1" xfId="0" applyFont="1" applyFill="1" applyBorder="1" applyAlignment="1" applyProtection="1">
      <alignment horizontal="left"/>
    </xf>
    <xf numFmtId="1" fontId="23" fillId="6" borderId="13" xfId="0" applyNumberFormat="1" applyFont="1" applyFill="1" applyBorder="1" applyAlignment="1" applyProtection="1">
      <alignment horizontal="left"/>
    </xf>
    <xf numFmtId="1" fontId="23" fillId="6" borderId="16" xfId="0" applyNumberFormat="1" applyFont="1" applyFill="1" applyBorder="1" applyAlignment="1" applyProtection="1">
      <alignment horizontal="left"/>
    </xf>
    <xf numFmtId="1" fontId="23" fillId="6" borderId="6" xfId="0" applyNumberFormat="1" applyFont="1" applyFill="1" applyBorder="1" applyAlignment="1" applyProtection="1">
      <alignment horizontal="left"/>
    </xf>
    <xf numFmtId="0" fontId="23" fillId="6" borderId="13" xfId="0" applyFont="1" applyFill="1" applyBorder="1" applyAlignment="1" applyProtection="1">
      <alignment horizontal="left" vertical="center"/>
    </xf>
    <xf numFmtId="0" fontId="23" fillId="6" borderId="16" xfId="0" applyFont="1" applyFill="1" applyBorder="1" applyAlignment="1" applyProtection="1">
      <alignment horizontal="left" vertical="center"/>
    </xf>
    <xf numFmtId="0" fontId="23" fillId="6" borderId="6" xfId="0" applyFont="1" applyFill="1" applyBorder="1" applyAlignment="1" applyProtection="1">
      <alignment horizontal="left" vertical="center"/>
    </xf>
    <xf numFmtId="0" fontId="22" fillId="8" borderId="13" xfId="0" applyFont="1" applyFill="1" applyBorder="1" applyAlignment="1" applyProtection="1">
      <alignment horizontal="left" vertical="center"/>
    </xf>
    <xf numFmtId="0" fontId="22" fillId="8" borderId="16" xfId="0" applyFont="1" applyFill="1" applyBorder="1" applyAlignment="1" applyProtection="1">
      <alignment horizontal="left" vertical="center"/>
    </xf>
    <xf numFmtId="0" fontId="22" fillId="8" borderId="6" xfId="0" applyFont="1" applyFill="1" applyBorder="1" applyAlignment="1" applyProtection="1">
      <alignment horizontal="left" vertical="center"/>
    </xf>
    <xf numFmtId="0" fontId="26" fillId="2" borderId="35" xfId="0"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protection locked="0"/>
    </xf>
    <xf numFmtId="15" fontId="26" fillId="2" borderId="16" xfId="0" applyNumberFormat="1" applyFont="1" applyFill="1" applyBorder="1" applyAlignment="1" applyProtection="1">
      <alignment horizontal="left" vertical="center"/>
      <protection locked="0"/>
    </xf>
    <xf numFmtId="3" fontId="23" fillId="6" borderId="13" xfId="0" applyNumberFormat="1" applyFont="1" applyFill="1" applyBorder="1" applyAlignment="1" applyProtection="1">
      <alignment horizontal="left" vertical="center"/>
    </xf>
    <xf numFmtId="3" fontId="23" fillId="6" borderId="16" xfId="0" applyNumberFormat="1" applyFont="1" applyFill="1" applyBorder="1" applyAlignment="1" applyProtection="1">
      <alignment horizontal="left" vertical="center"/>
    </xf>
    <xf numFmtId="3" fontId="23" fillId="6" borderId="6" xfId="0" applyNumberFormat="1" applyFont="1" applyFill="1" applyBorder="1" applyAlignment="1" applyProtection="1">
      <alignment horizontal="left" vertical="center"/>
    </xf>
    <xf numFmtId="0" fontId="22" fillId="8" borderId="82" xfId="0" applyFont="1" applyFill="1" applyBorder="1" applyAlignment="1" applyProtection="1">
      <alignment horizontal="left" vertical="center"/>
    </xf>
    <xf numFmtId="0" fontId="35" fillId="16" borderId="0" xfId="0" applyFont="1" applyFill="1" applyAlignment="1" applyProtection="1">
      <alignment horizontal="left" vertical="center" wrapText="1"/>
    </xf>
    <xf numFmtId="0" fontId="26" fillId="0" borderId="35" xfId="0" applyFont="1" applyBorder="1" applyAlignment="1">
      <alignment horizontal="left" vertical="top" wrapText="1"/>
    </xf>
    <xf numFmtId="0" fontId="26" fillId="0" borderId="20" xfId="0" applyFont="1" applyBorder="1" applyAlignment="1">
      <alignment horizontal="left" vertical="top" wrapText="1"/>
    </xf>
    <xf numFmtId="0" fontId="27" fillId="0" borderId="13" xfId="0" applyFont="1" applyBorder="1" applyAlignment="1" applyProtection="1">
      <alignment horizontal="left" vertical="center" wrapText="1"/>
      <protection locked="0"/>
    </xf>
    <xf numFmtId="0" fontId="27" fillId="0" borderId="16" xfId="0" applyFont="1" applyBorder="1" applyAlignment="1" applyProtection="1">
      <alignment horizontal="left" vertical="center" wrapText="1"/>
      <protection locked="0"/>
    </xf>
    <xf numFmtId="0" fontId="27" fillId="0" borderId="6" xfId="0" applyFont="1" applyBorder="1" applyAlignment="1" applyProtection="1">
      <alignment horizontal="left" vertical="center" wrapText="1"/>
      <protection locked="0"/>
    </xf>
    <xf numFmtId="0" fontId="26" fillId="2" borderId="35" xfId="0" applyFont="1" applyFill="1" applyBorder="1" applyAlignment="1" applyProtection="1">
      <alignment horizontal="center"/>
      <protection locked="0"/>
    </xf>
    <xf numFmtId="0" fontId="26" fillId="2" borderId="16" xfId="0" applyFont="1" applyFill="1" applyBorder="1" applyAlignment="1" applyProtection="1">
      <alignment horizontal="center"/>
      <protection locked="0"/>
    </xf>
    <xf numFmtId="0" fontId="32" fillId="8" borderId="0" xfId="6" applyFont="1" applyFill="1" applyAlignment="1" applyProtection="1">
      <alignment horizontal="left" vertical="center"/>
    </xf>
    <xf numFmtId="0" fontId="68" fillId="12" borderId="1" xfId="58" applyFont="1" applyFill="1" applyBorder="1" applyAlignment="1">
      <alignment horizontal="center" vertical="center"/>
    </xf>
    <xf numFmtId="0" fontId="68" fillId="16" borderId="13" xfId="58" applyFont="1" applyFill="1" applyBorder="1" applyAlignment="1">
      <alignment horizontal="center" vertical="center"/>
    </xf>
    <xf numFmtId="0" fontId="68" fillId="16" borderId="6" xfId="58" applyFont="1" applyFill="1" applyBorder="1" applyAlignment="1">
      <alignment horizontal="center" vertical="center"/>
    </xf>
  </cellXfs>
  <cellStyles count="107">
    <cellStyle name="Comma" xfId="1" builtinId="3"/>
    <cellStyle name="Comma 2" xfId="2"/>
    <cellStyle name="Comma 3" xfId="3"/>
    <cellStyle name="Comma 3 2" xfId="20"/>
    <cellStyle name="Comma 4" xfId="4"/>
    <cellStyle name="Comma 5" xfId="17"/>
    <cellStyle name="Currency 2" xfId="21"/>
    <cellStyle name="Currency 2 2" xfId="105"/>
    <cellStyle name="Currency 3" xfId="56"/>
    <cellStyle name="Normal" xfId="0" builtinId="0"/>
    <cellStyle name="Normal 19" xfId="15"/>
    <cellStyle name="Normal 19 2" xfId="26"/>
    <cellStyle name="Normal 19 2 2" xfId="71"/>
    <cellStyle name="Normal 19 3" xfId="34"/>
    <cellStyle name="Normal 19 3 2" xfId="79"/>
    <cellStyle name="Normal 19 4" xfId="42"/>
    <cellStyle name="Normal 19 4 2" xfId="87"/>
    <cellStyle name="Normal 19 5" xfId="52"/>
    <cellStyle name="Normal 19 5 2" xfId="97"/>
    <cellStyle name="Normal 19 6" xfId="63"/>
    <cellStyle name="Normal 2" xfId="5"/>
    <cellStyle name="Normal 2 2" xfId="11"/>
    <cellStyle name="Normal 2 2 2" xfId="23"/>
    <cellStyle name="Normal 2 2 2 2" xfId="68"/>
    <cellStyle name="Normal 2 2 3" xfId="31"/>
    <cellStyle name="Normal 2 2 3 2" xfId="76"/>
    <cellStyle name="Normal 2 2 4" xfId="39"/>
    <cellStyle name="Normal 2 2 4 2" xfId="84"/>
    <cellStyle name="Normal 2 2 5" xfId="49"/>
    <cellStyle name="Normal 2 2 5 2" xfId="94"/>
    <cellStyle name="Normal 2 2 6" xfId="104"/>
    <cellStyle name="Normal 2 2 7" xfId="106"/>
    <cellStyle name="Normal 2 2 8" xfId="60"/>
    <cellStyle name="Normal 2 3" xfId="14"/>
    <cellStyle name="Normal 2 3 2" xfId="25"/>
    <cellStyle name="Normal 2 3 2 2" xfId="70"/>
    <cellStyle name="Normal 2 3 3" xfId="33"/>
    <cellStyle name="Normal 2 3 3 2" xfId="78"/>
    <cellStyle name="Normal 2 3 4" xfId="41"/>
    <cellStyle name="Normal 2 3 4 2" xfId="86"/>
    <cellStyle name="Normal 2 3 5" xfId="51"/>
    <cellStyle name="Normal 2 3 5 2" xfId="96"/>
    <cellStyle name="Normal 2 3 6" xfId="62"/>
    <cellStyle name="Normal 21" xfId="16"/>
    <cellStyle name="Normal 21 2" xfId="27"/>
    <cellStyle name="Normal 21 2 2" xfId="72"/>
    <cellStyle name="Normal 21 3" xfId="35"/>
    <cellStyle name="Normal 21 3 2" xfId="80"/>
    <cellStyle name="Normal 21 4" xfId="43"/>
    <cellStyle name="Normal 21 4 2" xfId="88"/>
    <cellStyle name="Normal 21 5" xfId="53"/>
    <cellStyle name="Normal 21 5 2" xfId="98"/>
    <cellStyle name="Normal 21 6" xfId="64"/>
    <cellStyle name="Normal 3" xfId="9"/>
    <cellStyle name="Normal 3 2" xfId="18"/>
    <cellStyle name="Normal 3 2 2" xfId="28"/>
    <cellStyle name="Normal 3 2 2 2" xfId="73"/>
    <cellStyle name="Normal 3 2 3" xfId="36"/>
    <cellStyle name="Normal 3 2 3 2" xfId="81"/>
    <cellStyle name="Normal 3 2 4" xfId="44"/>
    <cellStyle name="Normal 3 2 4 2" xfId="89"/>
    <cellStyle name="Normal 3 2 5" xfId="54"/>
    <cellStyle name="Normal 3 2 5 2" xfId="99"/>
    <cellStyle name="Normal 3 2 6" xfId="65"/>
    <cellStyle name="Normal 3 3" xfId="22"/>
    <cellStyle name="Normal 3 3 2" xfId="67"/>
    <cellStyle name="Normal 3 4" xfId="30"/>
    <cellStyle name="Normal 3 4 2" xfId="75"/>
    <cellStyle name="Normal 3 5" xfId="38"/>
    <cellStyle name="Normal 3 5 2" xfId="83"/>
    <cellStyle name="Normal 3 6" xfId="48"/>
    <cellStyle name="Normal 3 6 2" xfId="93"/>
    <cellStyle name="Normal 3 7" xfId="57"/>
    <cellStyle name="Normal 3 7 2" xfId="101"/>
    <cellStyle name="Normal 3 8" xfId="59"/>
    <cellStyle name="Normal 4" xfId="13"/>
    <cellStyle name="Normal 4 2" xfId="24"/>
    <cellStyle name="Normal 4 2 2" xfId="69"/>
    <cellStyle name="Normal 4 3" xfId="32"/>
    <cellStyle name="Normal 4 3 2" xfId="77"/>
    <cellStyle name="Normal 4 4" xfId="40"/>
    <cellStyle name="Normal 4 4 2" xfId="85"/>
    <cellStyle name="Normal 4 5" xfId="50"/>
    <cellStyle name="Normal 4 5 2" xfId="95"/>
    <cellStyle name="Normal 4 6" xfId="58"/>
    <cellStyle name="Normal 4 6 2" xfId="102"/>
    <cellStyle name="Normal 4 7" xfId="61"/>
    <cellStyle name="Normal 5" xfId="12"/>
    <cellStyle name="Normal 6" xfId="19"/>
    <cellStyle name="Normal 6 2" xfId="29"/>
    <cellStyle name="Normal 6 2 2" xfId="74"/>
    <cellStyle name="Normal 6 3" xfId="37"/>
    <cellStyle name="Normal 6 3 2" xfId="82"/>
    <cellStyle name="Normal 6 4" xfId="45"/>
    <cellStyle name="Normal 6 4 2" xfId="90"/>
    <cellStyle name="Normal 6 5" xfId="55"/>
    <cellStyle name="Normal 6 5 2" xfId="100"/>
    <cellStyle name="Normal 6 6" xfId="66"/>
    <cellStyle name="Normal 7" xfId="46"/>
    <cellStyle name="Normal 7 2" xfId="91"/>
    <cellStyle name="Normal 8" xfId="47"/>
    <cellStyle name="Normal 8 2" xfId="92"/>
    <cellStyle name="Normal 9" xfId="103"/>
    <cellStyle name="Normal_Template for Summary budgets Generic - draft 1 - 4 mar 08" xfId="6"/>
    <cellStyle name="Output" xfId="8" builtinId="21"/>
    <cellStyle name="Percent" xfId="7" builtinId="5"/>
    <cellStyle name="Percent 2" xfId="10"/>
  </cellStyles>
  <dxfs count="140">
    <dxf>
      <fill>
        <patternFill>
          <bgColor rgb="FFFF0000"/>
        </patternFill>
      </fill>
    </dxf>
    <dxf>
      <fill>
        <patternFill>
          <bgColor rgb="FFFF0000"/>
        </patternFill>
      </fill>
    </dxf>
    <dxf>
      <fill>
        <patternFill>
          <bgColor rgb="FFFF0000"/>
        </patternFill>
      </fill>
    </dxf>
    <dxf>
      <fill>
        <patternFill>
          <bgColor rgb="FFFF0000"/>
        </patternFill>
      </fill>
    </dxf>
    <dxf>
      <numFmt numFmtId="187" formatCode="[$€-2]\ #,##0.00;[Red]\-[$€-2]\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87" formatCode="[$€-2]\ #,##0.00;[Red]\-[$€-2]\ #,##0.00"/>
    </dxf>
    <dxf>
      <numFmt numFmtId="187" formatCode="[$€-2]\ #,##0.00;[Red]\-[$€-2]\ #,##0.00"/>
    </dxf>
    <dxf>
      <numFmt numFmtId="187" formatCode="[$€-2]\ #,##0.00;[Red]\-[$€-2]\ #,##0.00"/>
    </dxf>
    <dxf>
      <numFmt numFmtId="187" formatCode="[$€-2]\ #,##0.00;[Red]\-[$€-2]\ #,##0.00"/>
    </dxf>
    <dxf>
      <numFmt numFmtId="187" formatCode="[$€-2]\ #,##0.00;[Red]\-[$€-2]\ #,##0.00"/>
    </dxf>
    <dxf>
      <numFmt numFmtId="187" formatCode="[$€-2]\ #,##0.00;[Red]\-[$€-2]\ #,##0.00"/>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fill>
        <patternFill>
          <bgColor rgb="FFFF0000"/>
        </patternFill>
      </fill>
    </dxf>
    <dxf>
      <fill>
        <patternFill>
          <bgColor rgb="FFFF0000"/>
        </patternFill>
      </fill>
    </dxf>
    <dxf>
      <border outline="0">
        <left style="hair">
          <color theme="8"/>
        </left>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numFmt numFmtId="188" formatCode="[$€-2]\ #,##0;[Red]\-[$€-2]\ #,##0"/>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indexed="43"/>
        </patternFill>
      </fill>
    </dxf>
    <dxf>
      <fill>
        <patternFill>
          <bgColor indexed="2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2"/>
        </patternFill>
      </fill>
    </dxf>
    <dxf>
      <fill>
        <patternFill>
          <bgColor indexed="26"/>
        </patternFill>
      </fill>
    </dxf>
    <dxf>
      <font>
        <color rgb="FFC00000"/>
      </font>
    </dxf>
    <dxf>
      <font>
        <color rgb="FFC00000"/>
      </font>
    </dxf>
    <dxf>
      <font>
        <color rgb="FFC00000"/>
      </font>
      <fill>
        <patternFill patternType="solid">
          <bgColor rgb="FFDCE6F1"/>
        </patternFill>
      </fill>
    </dxf>
    <dxf>
      <font>
        <b/>
        <i val="0"/>
        <condense val="0"/>
        <extend val="0"/>
        <color indexed="10"/>
      </font>
    </dxf>
    <dxf>
      <font>
        <b val="0"/>
        <i val="0"/>
        <condense val="0"/>
        <extend val="0"/>
        <color indexed="10"/>
      </font>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87" formatCode="[$€-2]\ #,##0.00;[Red]\-[$€-2]\ #,##0.00"/>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88" formatCode="[$€-2]\ #,##0;[Red]\-[$€-2]\ #,##0"/>
    </dxf>
    <dxf>
      <numFmt numFmtId="188" formatCode="[$€-2]\ #,##0;[Red]\-[$€-2]\ #,##0"/>
    </dxf>
    <dxf>
      <numFmt numFmtId="187" formatCode="[$€-2]\ #,##0.00;[Red]\-[$€-2]\ #,##0.00"/>
    </dxf>
    <dxf>
      <numFmt numFmtId="187" formatCode="[$€-2]\ #,##0.00;[Red]\-[$€-2]\ #,##0.00"/>
    </dxf>
    <dxf>
      <numFmt numFmtId="187" formatCode="[$€-2]\ #,##0.00;[Red]\-[$€-2]\ #,##0.00"/>
    </dxf>
    <dxf>
      <numFmt numFmtId="187" formatCode="[$€-2]\ #,##0.00;[Red]\-[$€-2]\ #,##0.00"/>
    </dxf>
    <dxf>
      <numFmt numFmtId="187" formatCode="[$€-2]\ #,##0.00;[Red]\-[$€-2]\ #,##0.00"/>
    </dxf>
    <dxf>
      <fill>
        <patternFill>
          <bgColor theme="9" tint="0.59996337778862885"/>
        </patternFill>
      </fill>
    </dxf>
    <dxf>
      <fill>
        <patternFill>
          <bgColor theme="9" tint="0.59996337778862885"/>
        </patternFill>
      </fill>
    </dxf>
  </dxfs>
  <tableStyles count="0" defaultTableStyle="TableStyleMedium9" defaultPivotStyle="PivotStyleLight16"/>
  <colors>
    <mruColors>
      <color rgb="FFFFFF99"/>
      <color rgb="FF33CCCC"/>
      <color rgb="FFB0B0B0"/>
      <color rgb="FFFFFFFF"/>
      <color rgb="FF2E2E2E"/>
      <color rgb="FFD3D3D3"/>
      <color rgb="FFBCBCBC"/>
      <color rgb="FFC1F4BA"/>
      <color rgb="FFF2F2F2"/>
      <color rgb="FF1919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11</xdr:col>
      <xdr:colOff>762000</xdr:colOff>
      <xdr:row>0</xdr:row>
      <xdr:rowOff>136071</xdr:rowOff>
    </xdr:from>
    <xdr:to>
      <xdr:col>14</xdr:col>
      <xdr:colOff>386155</xdr:colOff>
      <xdr:row>0</xdr:row>
      <xdr:rowOff>488452</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7730107" y="136071"/>
          <a:ext cx="2304762" cy="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438150</xdr:colOff>
          <xdr:row>3</xdr:row>
          <xdr:rowOff>28575</xdr:rowOff>
        </xdr:to>
        <xdr:sp macro="" textlink="">
          <xdr:nvSpPr>
            <xdr:cNvPr id="61441" name="Apttus_App" hidden="1">
              <a:extLst>
                <a:ext uri="{63B3BB69-23CF-44E3-9099-C40C66FF867C}">
                  <a14:compatExt spid="_x0000_s614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3</xdr:row>
          <xdr:rowOff>28575</xdr:rowOff>
        </xdr:to>
        <xdr:sp macro="" textlink="">
          <xdr:nvSpPr>
            <xdr:cNvPr id="61442" name="Apttus_AppData" hidden="1">
              <a:extLst>
                <a:ext uri="{63B3BB69-23CF-44E3-9099-C40C66FF867C}">
                  <a14:compatExt spid="_x0000_s614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409575</xdr:colOff>
          <xdr:row>3</xdr:row>
          <xdr:rowOff>28575</xdr:rowOff>
        </xdr:to>
        <xdr:sp macro="" textlink="">
          <xdr:nvSpPr>
            <xdr:cNvPr id="61443" name="Apttus_AppDataTracker" hidden="1">
              <a:extLst>
                <a:ext uri="{63B3BB69-23CF-44E3-9099-C40C66FF867C}">
                  <a14:compatExt spid="_x0000_s614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342900</xdr:colOff>
          <xdr:row>3</xdr:row>
          <xdr:rowOff>28575</xdr:rowOff>
        </xdr:to>
        <xdr:sp macro="" textlink="">
          <xdr:nvSpPr>
            <xdr:cNvPr id="61444" name="Apttus_DataProtection" hidden="1">
              <a:extLst>
                <a:ext uri="{63B3BB69-23CF-44E3-9099-C40C66FF867C}">
                  <a14:compatExt spid="_x0000_s614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esktops\Users\jntreh\AppData\Local\Microsoft\Windows\Temporary%20Internet%20Files\Content.Outlook\N94QXR0L\HP_Board%20Approved_2014Q2_Final%20validate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odmeteorfs.gf.theglobalfund.org\UserDesktops\Users\aabouatme\AppData\Local\Microsoft\Windows\Temporary%20Internet%20Files\Content.IE5\W0OJ3YPY\Core_PUDR_Form_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odmeteorfs.gf.theglobalfund.org\UserDesktops\Users\chenneuse\AppData\Local\Microsoft\Windows\Temporary%20Internet%20Files\Content.Outlook\LX8CLMNA\Malaria_Financial%20Reporting%20Template_Jun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rodmeteorfs.gf.theglobalfund.org\UserDesktops\Users\chenneuse\AppData\Local\Microsoft\Windows\Temporary%20Internet%20Files\Content.Outlook\LX8CLMNA\TB_Financial%20Reporting%20Template_Jun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NCDC/Documents/PUDR%20TB/GEO-T-NCDC_Progress%20Report%20Disbursement_31Dec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dmeteorfs.gf.theglobalfund.org\UserDesktops\Contracts\Cost%20and%20Pricing\Final%20Budgets\Global%20Fund\Mali\2014.05%20NFM%20Submission\GF%20Mali%20Phase%201%20&amp;%202%20NFM%20internal%20hybrid_2014.07.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rodmeteorfs.gf.theglobalfund.org\UserDesktops\obocoum\Desktop\AIM\Quarterly%20Financial%20report16_MAR_16%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f\afaye\Desktop\MALI_Global%20Fund%20Budget%20Template%202014-07-11-revised%20by%20PS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DKapodistria\Desktop\PUDR%20template%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rodmeteorfs.gf.theglobalfund.org\UserDocuments\Taxes\Taxes%20Collection%20Test%202%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abouatme/AppData/Local/Microsoft/Windows/Temporary%20Internet%20Files/Content.Outlook/ZIELDH0I/Financial%20Reports_May%202016_AIM%20(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afaye\Desktop\Desktop%20Files%2017042012\SLE%20Summary%20Budget%20Phase%20%202%20Malaria_2701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odmeteorfs.gf.theglobalfund.org\UserDesktops\Users\adas\AppData\Local\Microsoft\Windows\Temporary%20Internet%20Files\Content.Outlook\0O09I2GP\Master%20data%20in%20Perf%20Fwk%20Budget%20PSM%20(except%20PSM%20specific)%202015-06-03%2017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Funding Approved GFS"/>
      <sheetName val="866DE43A3B1D483C9DB27C716352610"/>
      <sheetName val="Bf3p1"/>
      <sheetName val="Check_BA"/>
      <sheetName val="Check_BA (2)"/>
      <sheetName val="Waterfall_Before"/>
      <sheetName val="Load_BA"/>
      <sheetName val="Load_adHoc"/>
      <sheetName val="Load_Transfer"/>
      <sheetName val="Load_Transfer (2)"/>
      <sheetName val="Waterfall_After"/>
      <sheetName val="Nigeria"/>
      <sheetName val="Review BA 2014Q2"/>
      <sheetName val="ADJUST-&gt;"/>
      <sheetName val="GID_29697_Phase1"/>
      <sheetName val="GID_29697_Phase2"/>
      <sheetName val="GID_100006_IMPP1"/>
      <sheetName val="GID_579_RCC2"/>
      <sheetName val="PHL_DTB"/>
      <sheetName val="Sheet11"/>
      <sheetName val="Sheet11 (3)"/>
      <sheetName val="Sheet11 (2)"/>
      <sheetName val="Currency 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PR_Grant Management_2"/>
      <sheetName val="PR_Total PR Cash Outflow_3A"/>
      <sheetName val="EFR Malaria Financial Data_3B"/>
      <sheetName val="EFR TB Financial Data_3B"/>
      <sheetName val="EFR HIV AIDS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Annex for additional info"/>
      <sheetName val="Memo HIV"/>
      <sheetName val="Memo TB"/>
      <sheetName val="Memo Malaria"/>
      <sheetName val="Definitions-lists-EFR"/>
      <sheetName val="Sheet2"/>
      <sheetName val="PR_Programmatic Progress_1A"/>
      <sheetName val="PR_Programmatic Progress_1B"/>
      <sheetName val="Links"/>
    </sheetNames>
    <sheetDataSet>
      <sheetData sheetId="0"/>
      <sheetData sheetId="1">
        <row r="12">
          <cell r="D12" t="str">
            <v>Select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A2" t="str">
            <v>Please select…</v>
          </cell>
        </row>
      </sheetData>
      <sheetData sheetId="28">
        <row r="2">
          <cell r="A2" t="str">
            <v>Please select…</v>
          </cell>
        </row>
      </sheetData>
      <sheetData sheetId="29">
        <row r="2">
          <cell r="A2" t="str">
            <v>Please select…</v>
          </cell>
        </row>
        <row r="3">
          <cell r="A3" t="str">
            <v>Prevention: Behavioral Change Communication - Mass media</v>
          </cell>
        </row>
        <row r="4">
          <cell r="A4" t="str">
            <v>Prevention: Behavioral Change Communication - community outreach</v>
          </cell>
        </row>
        <row r="5">
          <cell r="A5" t="str">
            <v>Prevention: Condom distribution</v>
          </cell>
        </row>
        <row r="6">
          <cell r="A6" t="str">
            <v xml:space="preserve">Prevention: Counseling and Testing </v>
          </cell>
        </row>
        <row r="7">
          <cell r="A7" t="str">
            <v>Prevention: PMTCT</v>
          </cell>
        </row>
        <row r="8">
          <cell r="A8" t="str">
            <v>Prevention: Post-exposure prophylaxis (PEP)</v>
          </cell>
        </row>
        <row r="9">
          <cell r="A9" t="str">
            <v>Prevention: STI diagnosis and treatment</v>
          </cell>
        </row>
        <row r="10">
          <cell r="A10" t="str">
            <v>Prevention: Blood safety and universal precaution</v>
          </cell>
        </row>
        <row r="11">
          <cell r="A11" t="str">
            <v>Treatment: Antiretroviral treatment (ARV) and monitoring</v>
          </cell>
        </row>
        <row r="12">
          <cell r="A12" t="str">
            <v>Treatment: Prophylaxis and treatment for opportunistic infections</v>
          </cell>
        </row>
        <row r="13">
          <cell r="A13" t="str">
            <v>Care and support: Care and support for the chronically ill</v>
          </cell>
        </row>
        <row r="14">
          <cell r="A14" t="str">
            <v>Care and support: Support for orphans and vulnerable children</v>
          </cell>
        </row>
        <row r="15">
          <cell r="A15" t="str">
            <v xml:space="preserve">TB/HIV collaborative activities: HIV care and support for HIV-positive TB patients </v>
          </cell>
        </row>
        <row r="16">
          <cell r="A16" t="str">
            <v>Supportive environment: Policy development including workplace policy</v>
          </cell>
        </row>
        <row r="17">
          <cell r="A17" t="str">
            <v xml:space="preserve">Supportive environment: Strengthening of civil society and institutional capacity building </v>
          </cell>
        </row>
        <row r="18">
          <cell r="A18" t="str">
            <v>Supportive environment: Stigma reduction in all settings</v>
          </cell>
        </row>
        <row r="19">
          <cell r="A19" t="str">
            <v>Supportive environment: Program management and administration</v>
          </cell>
        </row>
        <row r="20">
          <cell r="A20" t="str">
            <v>HSS: Service delivery</v>
          </cell>
        </row>
        <row r="21">
          <cell r="A21" t="str">
            <v>HSS: Human resources</v>
          </cell>
        </row>
        <row r="22">
          <cell r="A22" t="str">
            <v>HSS: Community Systems Strengthening</v>
          </cell>
        </row>
        <row r="23">
          <cell r="A23" t="str">
            <v>HSS: Information system &amp; Operational research</v>
          </cell>
        </row>
        <row r="24">
          <cell r="A24" t="str">
            <v>HSS: Infrastructure</v>
          </cell>
        </row>
        <row r="25">
          <cell r="A25" t="str">
            <v>HSS: Procurement and Supply management</v>
          </cell>
        </row>
        <row r="26">
          <cell r="A26" t="str">
            <v>HSS: Other, specify</v>
          </cell>
        </row>
      </sheetData>
      <sheetData sheetId="30"/>
      <sheetData sheetId="31"/>
      <sheetData sheetId="32"/>
      <sheetData sheetId="33"/>
      <sheetData sheetId="34"/>
      <sheetData sheetId="35"/>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LARIA_Financial Data"/>
      <sheetName val="Definitions"/>
      <sheetName val="Annex 1"/>
      <sheetName val="Annex 2"/>
      <sheetName val="Annex 3"/>
      <sheetName val="PR_Grant Management_2"/>
    </sheetNames>
    <sheetDataSet>
      <sheetData sheetId="0">
        <row r="28">
          <cell r="C28" t="str">
            <v>Please select…</v>
          </cell>
        </row>
      </sheetData>
      <sheetData sheetId="1">
        <row r="28">
          <cell r="C28" t="str">
            <v>Please select…</v>
          </cell>
        </row>
        <row r="29">
          <cell r="C29" t="str">
            <v>Prevention: Behavioral Change Communication - Mass Media</v>
          </cell>
        </row>
        <row r="30">
          <cell r="C30" t="str">
            <v>Prevention: Behavioral Change Communication - Community Outreach</v>
          </cell>
        </row>
        <row r="31">
          <cell r="C31" t="str">
            <v>Prevention: Insecticide-treated nets (ITNs)</v>
          </cell>
        </row>
        <row r="32">
          <cell r="C32" t="str">
            <v>Prevention: Malaria in pregnancy</v>
          </cell>
        </row>
        <row r="33">
          <cell r="C33" t="str">
            <v>Prevention: Vector control (other than ITNs)</v>
          </cell>
        </row>
        <row r="34">
          <cell r="C34" t="str">
            <v>Prevention: other - specify</v>
          </cell>
        </row>
        <row r="35">
          <cell r="C35" t="str">
            <v>Treatment: Prompt, effective antimalarial treatment</v>
          </cell>
        </row>
        <row r="36">
          <cell r="C36" t="str">
            <v>Treatment: Home-based management of malaria</v>
          </cell>
        </row>
        <row r="37">
          <cell r="C37" t="str">
            <v>Treatment: Diagnosis</v>
          </cell>
        </row>
        <row r="38">
          <cell r="C38" t="str">
            <v>Treatment: other - specify</v>
          </cell>
        </row>
        <row r="39">
          <cell r="C39" t="str">
            <v>Supportive Environment: Monitoring drug resistance</v>
          </cell>
        </row>
        <row r="40">
          <cell r="C40" t="str">
            <v>Supportive environment: Monitoring insecticide resistance</v>
          </cell>
        </row>
        <row r="41">
          <cell r="C41" t="str">
            <v>Supportive Environment: Coordination and partnership development (national, community, public-private)</v>
          </cell>
        </row>
        <row r="42">
          <cell r="C42" t="str">
            <v>Supportive environment: other - specify</v>
          </cell>
        </row>
        <row r="43">
          <cell r="C43" t="str">
            <v>Supportive environment: Program management and administration</v>
          </cell>
        </row>
        <row r="44">
          <cell r="C44" t="str">
            <v>HSS: Service delivery</v>
          </cell>
        </row>
        <row r="45">
          <cell r="C45" t="str">
            <v>HSS: Human resources</v>
          </cell>
        </row>
        <row r="46">
          <cell r="C46" t="str">
            <v>HSS: Community Systems Strengthening</v>
          </cell>
        </row>
        <row r="47">
          <cell r="C47" t="str">
            <v>HSS: Information system &amp; Operational research</v>
          </cell>
        </row>
        <row r="48">
          <cell r="C48" t="str">
            <v>HSS: Infrastructure</v>
          </cell>
        </row>
        <row r="49">
          <cell r="C49" t="str">
            <v>HSS: Procurement and Supply management</v>
          </cell>
        </row>
        <row r="50">
          <cell r="C50" t="str">
            <v>HSS: other - specify</v>
          </cell>
        </row>
      </sheetData>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Financial Data"/>
      <sheetName val="Definitions"/>
      <sheetName val="Annex 1"/>
      <sheetName val="Annex 2"/>
      <sheetName val="Annex 3"/>
      <sheetName val="GSU-form#018rev2014"/>
    </sheetNames>
    <sheetDataSet>
      <sheetData sheetId="0"/>
      <sheetData sheetId="1">
        <row r="39">
          <cell r="C39" t="str">
            <v>Please select…</v>
          </cell>
        </row>
        <row r="40">
          <cell r="C40" t="str">
            <v>Improving diagnosis</v>
          </cell>
        </row>
        <row r="41">
          <cell r="C41" t="str">
            <v>Standardized treatment, patient support and patient charter</v>
          </cell>
        </row>
        <row r="42">
          <cell r="C42" t="str">
            <v>Procurement and Supply management</v>
          </cell>
        </row>
        <row r="43">
          <cell r="C43" t="str">
            <v>M&amp;E</v>
          </cell>
        </row>
        <row r="44">
          <cell r="C44" t="str">
            <v>TB/HIV</v>
          </cell>
        </row>
        <row r="45">
          <cell r="C45" t="str">
            <v>MDR-TB</v>
          </cell>
        </row>
        <row r="46">
          <cell r="C46" t="str">
            <v>High-risk groups</v>
          </cell>
        </row>
        <row r="47">
          <cell r="C47" t="str">
            <v>HSS (beyond TB)</v>
          </cell>
        </row>
        <row r="48">
          <cell r="C48" t="str">
            <v>PAL (Practical Approach to Lung Health)</v>
          </cell>
        </row>
        <row r="49">
          <cell r="C49" t="str">
            <v>PPM / ISTC (Public-Public, Public-Private Mix (PPM) approaches and International standards for TB care)</v>
          </cell>
        </row>
        <row r="50">
          <cell r="C50" t="str">
            <v>ACSM (Advocacy, communication and social mobilization)</v>
          </cell>
        </row>
        <row r="51">
          <cell r="C51" t="str">
            <v>Community TB care</v>
          </cell>
        </row>
        <row r="52">
          <cell r="C52" t="str">
            <v>Programme-based operational research</v>
          </cell>
        </row>
        <row r="53">
          <cell r="C53" t="str">
            <v>Other - specify</v>
          </cell>
        </row>
        <row r="54">
          <cell r="C54" t="str">
            <v>Supportive environment: Program management and administration</v>
          </cell>
        </row>
      </sheetData>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nge Page Information"/>
      <sheetName val="GF-Definitions"/>
      <sheetName val="GF-Instructions"/>
      <sheetName val="Interventions"/>
      <sheetName val="CostInputs"/>
      <sheetName val="CostGroupings"/>
      <sheetName val="Range Page"/>
      <sheetName val="GF-Cover"/>
      <sheetName val="GF-Recipients"/>
      <sheetName val="GF Objectives"/>
      <sheetName val="GF-Assumptions"/>
      <sheetName val="Assumptions-HR"/>
      <sheetName val="Detailed Assumptions"/>
      <sheetName val="Assumptions-Standard Unit Rate"/>
      <sheetName val="OLD Detailed Assumptions"/>
      <sheetName val="Sum of Old Detailed"/>
      <sheetName val="GF Module Interventions"/>
      <sheetName val="GF-Detailed Budget"/>
      <sheetName val="GF-Incremental"/>
      <sheetName val="GF-Summary Budget"/>
      <sheetName val="Summary Cost Inputs"/>
      <sheetName val="Setup"/>
      <sheetName val="NFM Detailed Budget"/>
      <sheetName val="NFM Budget Summary"/>
      <sheetName val="NFM QTR Summary"/>
      <sheetName val="PSI Summary by Year"/>
      <sheetName val="PSI Summary by Intervention"/>
      <sheetName val="ICR Summary"/>
      <sheetName val="PSI Int Detailed Roll-up"/>
      <sheetName val="START PSI---&gt;"/>
      <sheetName val="PSI Int A - routine"/>
      <sheetName val="PSI Int B - mass"/>
      <sheetName val="PSI Int C"/>
      <sheetName val="PSI Int D"/>
      <sheetName val="PSI Int E"/>
      <sheetName val="PSI Int F"/>
      <sheetName val="PSI Int G"/>
      <sheetName val="PSI Int H"/>
      <sheetName val="PSI Int I"/>
      <sheetName val="PSI Int J"/>
      <sheetName val="PSI Int K"/>
      <sheetName val="PSI Int L"/>
      <sheetName val="PSI Int M"/>
      <sheetName val="PSI Int N"/>
      <sheetName val="PSI Int O"/>
      <sheetName val="PSI Int P"/>
      <sheetName val="PSI Int Q"/>
      <sheetName val="PSI Int R"/>
      <sheetName val="---&gt;END PSI"/>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8">
          <cell r="A38">
            <v>7.0000000000000007E-2</v>
          </cell>
        </row>
        <row r="39">
          <cell r="A39">
            <v>0.03</v>
          </cell>
        </row>
        <row r="47">
          <cell r="A47">
            <v>0.77148300000000003</v>
          </cell>
        </row>
        <row r="48">
          <cell r="A48">
            <v>655.95699999999999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Balance Reporting"/>
      <sheetName val="Results - CB Form"/>
      <sheetName val="Expenditure Reporting - NFM "/>
      <sheetName val="Expenditure Reporting-Non NFM "/>
      <sheetName val="Tax Reporting"/>
      <sheetName val="Results -Tax Form"/>
      <sheetName val="Annex 1"/>
      <sheetName val="Annex 2"/>
      <sheetName val="EFR"/>
      <sheetName val="AFR"/>
      <sheetName val="Principal Recipient"/>
      <sheetName val="PR_Q1"/>
      <sheetName val="TGF Regions"/>
      <sheetName val="Grants"/>
      <sheetName val="16 MAR"/>
      <sheetName val="Lists"/>
      <sheetName val="Local Currenci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ow r="5">
          <cell r="C5" t="str">
            <v>Please Select…</v>
          </cell>
        </row>
      </sheetData>
      <sheetData sheetId="9" refreshError="1"/>
      <sheetData sheetId="10" refreshError="1"/>
      <sheetData sheetId="11" refreshError="1"/>
      <sheetData sheetId="12" refreshError="1"/>
      <sheetData sheetId="13"/>
      <sheetData sheetId="14" refreshError="1"/>
      <sheetData sheetId="15">
        <row r="3">
          <cell r="E3">
            <v>42460</v>
          </cell>
          <cell r="G3" t="str">
            <v>Abubakar Ibrahim</v>
          </cell>
        </row>
        <row r="4">
          <cell r="E4">
            <v>42551</v>
          </cell>
          <cell r="G4" t="str">
            <v>Afiefah Osman</v>
          </cell>
        </row>
        <row r="5">
          <cell r="E5">
            <v>42643</v>
          </cell>
          <cell r="G5" t="str">
            <v>Alex Andwati</v>
          </cell>
        </row>
        <row r="6">
          <cell r="E6">
            <v>42735</v>
          </cell>
          <cell r="G6" t="str">
            <v>Alexander Birikorang</v>
          </cell>
        </row>
        <row r="7">
          <cell r="G7" t="str">
            <v>Allan Nfamba</v>
          </cell>
        </row>
        <row r="8">
          <cell r="G8" t="str">
            <v>Andrew Kawuma</v>
          </cell>
        </row>
        <row r="9">
          <cell r="G9" t="str">
            <v>Anna Kruhavets</v>
          </cell>
        </row>
        <row r="10">
          <cell r="G10" t="str">
            <v>Boglarka Laza</v>
          </cell>
        </row>
        <row r="11">
          <cell r="A11" t="str">
            <v>VAT Goods &amp; Services</v>
          </cell>
          <cell r="G11" t="str">
            <v>Charles Ohene-Nyako</v>
          </cell>
        </row>
        <row r="12">
          <cell r="A12" t="str">
            <v>Import Duties</v>
          </cell>
          <cell r="G12" t="str">
            <v xml:space="preserve">Eduardo Camardelli </v>
          </cell>
        </row>
        <row r="13">
          <cell r="A13" t="str">
            <v>Both</v>
          </cell>
          <cell r="G13" t="str">
            <v>Edwin Lottin</v>
          </cell>
        </row>
        <row r="14">
          <cell r="A14" t="str">
            <v>No Exemption</v>
          </cell>
          <cell r="G14" t="str">
            <v>Emmanuel Eneme</v>
          </cell>
        </row>
        <row r="15">
          <cell r="G15" t="str">
            <v>Eric Boa</v>
          </cell>
        </row>
        <row r="16">
          <cell r="G16" t="str">
            <v>Foster Mphinga</v>
          </cell>
        </row>
        <row r="17">
          <cell r="G17" t="str">
            <v xml:space="preserve">Hao Lu </v>
          </cell>
        </row>
        <row r="18">
          <cell r="G18" t="str">
            <v>Inna Ivanova</v>
          </cell>
        </row>
        <row r="19">
          <cell r="G19" t="str">
            <v xml:space="preserve">Jaime Briz De Felipe </v>
          </cell>
        </row>
        <row r="20">
          <cell r="G20" t="str">
            <v>Joseph Ntreh</v>
          </cell>
        </row>
        <row r="21">
          <cell r="G21" t="str">
            <v>Joy Mukete</v>
          </cell>
        </row>
        <row r="22">
          <cell r="G22" t="str">
            <v>Kamran Abbas</v>
          </cell>
        </row>
        <row r="23">
          <cell r="G23" t="str">
            <v xml:space="preserve">Kanini Waita </v>
          </cell>
        </row>
        <row r="24">
          <cell r="G24" t="str">
            <v>Karima Jaouadi</v>
          </cell>
        </row>
        <row r="25">
          <cell r="G25" t="str">
            <v>Kasi Nsubuga</v>
          </cell>
        </row>
        <row r="26">
          <cell r="G26" t="str">
            <v>Kerstin Stange</v>
          </cell>
        </row>
        <row r="27">
          <cell r="G27" t="str">
            <v>Lamin N'jai</v>
          </cell>
        </row>
        <row r="28">
          <cell r="G28" t="str">
            <v>Lena Semenyuk</v>
          </cell>
        </row>
        <row r="29">
          <cell r="G29" t="str">
            <v>Maria Asuncion</v>
          </cell>
        </row>
        <row r="30">
          <cell r="G30" t="str">
            <v>Mario Rivero</v>
          </cell>
        </row>
        <row r="31">
          <cell r="G31" t="str">
            <v>Mark Taylor</v>
          </cell>
        </row>
        <row r="32">
          <cell r="G32" t="str">
            <v>Mark Warrillow-Thomson</v>
          </cell>
        </row>
        <row r="33">
          <cell r="G33" t="str">
            <v>Natalia Derkach</v>
          </cell>
        </row>
        <row r="34">
          <cell r="G34" t="str">
            <v>Pascal Sandapa</v>
          </cell>
        </row>
        <row r="35">
          <cell r="G35" t="str">
            <v>Patricia Lubwana</v>
          </cell>
        </row>
        <row r="36">
          <cell r="G36" t="str">
            <v>Quentin De Hemptinne</v>
          </cell>
        </row>
        <row r="37">
          <cell r="G37" t="str">
            <v>Renaud Bolly</v>
          </cell>
        </row>
        <row r="38">
          <cell r="G38" t="str">
            <v>Ryan Narciso</v>
          </cell>
        </row>
        <row r="39">
          <cell r="G39" t="str">
            <v>Sabyrzhan Berkembayev</v>
          </cell>
        </row>
        <row r="40">
          <cell r="G40" t="str">
            <v>Samuel Boateng</v>
          </cell>
        </row>
        <row r="41">
          <cell r="G41" t="str">
            <v>Sandrine Odoh</v>
          </cell>
        </row>
        <row r="42">
          <cell r="G42" t="str">
            <v>Sergey Polovinkin</v>
          </cell>
        </row>
        <row r="43">
          <cell r="G43" t="str">
            <v>Shevone Corbin</v>
          </cell>
        </row>
        <row r="44">
          <cell r="G44" t="str">
            <v>Sunny Park</v>
          </cell>
        </row>
        <row r="45">
          <cell r="G45" t="str">
            <v>Walid Kilani</v>
          </cell>
        </row>
        <row r="46">
          <cell r="G46" t="str">
            <v>Yeo Yenemanyan</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up"/>
      <sheetName val="Detailed Budget"/>
      <sheetName val="Assumptions TRC"/>
      <sheetName val="Assumptions HR"/>
      <sheetName val="Assumptions Other"/>
      <sheetName val="Budget Summary"/>
      <sheetName val="Rank unique Mod-Int-PR"/>
      <sheetName val="Concept Note Module Budget"/>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 val="Sheet2"/>
    </sheetNames>
    <sheetDataSet>
      <sheetData sheetId="0" refreshError="1"/>
      <sheetData sheetId="1">
        <row r="4">
          <cell r="B4" t="str">
            <v>Malaria</v>
          </cell>
        </row>
        <row r="10">
          <cell r="B10" t="str">
            <v>EUR</v>
          </cell>
        </row>
        <row r="11">
          <cell r="B11" t="str">
            <v>XOF</v>
          </cell>
        </row>
        <row r="12">
          <cell r="B12" t="str">
            <v>USD</v>
          </cell>
        </row>
      </sheetData>
      <sheetData sheetId="2">
        <row r="2">
          <cell r="S2">
            <v>46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CatModRowNbr</v>
          </cell>
        </row>
        <row r="2">
          <cell r="A2" t="str">
            <v>Detailed workings</v>
          </cell>
        </row>
        <row r="3">
          <cell r="A3" t="str">
            <v>Historical cost</v>
          </cell>
        </row>
        <row r="4">
          <cell r="A4" t="str">
            <v>Quote from supplier</v>
          </cell>
        </row>
        <row r="5">
          <cell r="A5" t="str">
            <v>Recent invoice</v>
          </cell>
        </row>
        <row r="6">
          <cell r="A6" t="str">
            <v>PSM Products &amp; Costs</v>
          </cell>
        </row>
      </sheetData>
      <sheetData sheetId="13">
        <row r="1">
          <cell r="C1" t="str">
            <v>Label</v>
          </cell>
          <cell r="D1" t="str">
            <v>Component en</v>
          </cell>
          <cell r="E1" t="str">
            <v>Component fr</v>
          </cell>
          <cell r="F1" t="str">
            <v>Component es</v>
          </cell>
          <cell r="G1" t="str">
            <v>Component ru</v>
          </cell>
          <cell r="H1" t="str">
            <v>Cost Input</v>
          </cell>
        </row>
        <row r="2">
          <cell r="C2" t="str">
            <v>HIV/AIDS</v>
          </cell>
          <cell r="D2" t="str">
            <v>HIV/AIDS</v>
          </cell>
          <cell r="E2" t="str">
            <v>VIH/SIDA</v>
          </cell>
          <cell r="F2" t="str">
            <v>VIH/SIDA</v>
          </cell>
          <cell r="G2" t="str">
            <v>ВИЧ/СПИД</v>
          </cell>
          <cell r="H2">
            <v>0</v>
          </cell>
        </row>
        <row r="3">
          <cell r="C3" t="str">
            <v>Tuberculosis</v>
          </cell>
          <cell r="D3" t="str">
            <v>Tuberculosis</v>
          </cell>
          <cell r="E3" t="str">
            <v>Tuberculose</v>
          </cell>
          <cell r="F3" t="str">
            <v>Tuberculosis</v>
          </cell>
          <cell r="G3" t="str">
            <v>Туберкулез</v>
          </cell>
          <cell r="H3">
            <v>1</v>
          </cell>
        </row>
        <row r="4">
          <cell r="C4" t="str">
            <v>Malaria</v>
          </cell>
          <cell r="D4" t="str">
            <v>Malaria</v>
          </cell>
          <cell r="E4" t="str">
            <v>Paludisme</v>
          </cell>
          <cell r="F4" t="str">
            <v>Malaria</v>
          </cell>
          <cell r="G4" t="str">
            <v>Малярия</v>
          </cell>
          <cell r="H4">
            <v>2</v>
          </cell>
        </row>
        <row r="5">
          <cell r="C5" t="str">
            <v>HIV/TB</v>
          </cell>
          <cell r="D5" t="str">
            <v>HIV/TB</v>
          </cell>
          <cell r="E5" t="str">
            <v>VIH/TB</v>
          </cell>
          <cell r="F5" t="str">
            <v>VIH/TB</v>
          </cell>
          <cell r="G5" t="str">
            <v>ВИЧ/TБ</v>
          </cell>
          <cell r="H5">
            <v>3</v>
          </cell>
        </row>
        <row r="6">
          <cell r="C6" t="str">
            <v>HSS</v>
          </cell>
          <cell r="D6" t="str">
            <v>HSS</v>
          </cell>
          <cell r="E6" t="str">
            <v>RSS</v>
          </cell>
          <cell r="F6" t="str">
            <v>FSS</v>
          </cell>
          <cell r="G6" t="str">
            <v>УСЗ</v>
          </cell>
          <cell r="H6">
            <v>4</v>
          </cell>
        </row>
      </sheetData>
      <sheetData sheetId="14"/>
      <sheetData sheetId="15">
        <row r="1">
          <cell r="A1" t="str">
            <v>CatModRowNbr</v>
          </cell>
        </row>
        <row r="2">
          <cell r="A2">
            <v>13</v>
          </cell>
          <cell r="C2" t="str">
            <v>Vector control</v>
          </cell>
        </row>
        <row r="3">
          <cell r="A3">
            <v>14</v>
          </cell>
        </row>
        <row r="4">
          <cell r="A4">
            <v>15</v>
          </cell>
        </row>
        <row r="5">
          <cell r="A5">
            <v>16</v>
          </cell>
        </row>
        <row r="6">
          <cell r="A6">
            <v>17</v>
          </cell>
        </row>
        <row r="7">
          <cell r="A7">
            <v>18</v>
          </cell>
        </row>
        <row r="8">
          <cell r="A8">
            <v>19</v>
          </cell>
        </row>
        <row r="9">
          <cell r="A9">
            <v>20</v>
          </cell>
        </row>
        <row r="10">
          <cell r="A10">
            <v>21</v>
          </cell>
        </row>
        <row r="11">
          <cell r="A11">
            <v>22</v>
          </cell>
        </row>
        <row r="12">
          <cell r="A12">
            <v>23</v>
          </cell>
        </row>
        <row r="13">
          <cell r="A13">
            <v>24</v>
          </cell>
        </row>
        <row r="14">
          <cell r="A14">
            <v>25</v>
          </cell>
        </row>
        <row r="15">
          <cell r="A15">
            <v>26</v>
          </cell>
        </row>
        <row r="16">
          <cell r="A16">
            <v>27</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sheetData>
      <sheetData sheetId="16">
        <row r="1">
          <cell r="C1">
            <v>0</v>
          </cell>
        </row>
      </sheetData>
      <sheetData sheetId="17">
        <row r="2">
          <cell r="J2" t="str">
            <v>PSI</v>
          </cell>
        </row>
        <row r="3">
          <cell r="J3" t="str">
            <v>PNLP</v>
          </cell>
        </row>
        <row r="4">
          <cell r="J4" t="str">
            <v>MRTC</v>
          </cell>
        </row>
        <row r="5">
          <cell r="J5">
            <v>0</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sheetData>
      <sheetData sheetId="18" refreshError="1"/>
      <sheetData sheetId="19">
        <row r="1">
          <cell r="A1" t="str">
            <v>ID</v>
          </cell>
        </row>
      </sheetData>
      <sheetData sheetId="20">
        <row r="1">
          <cell r="A1" t="str">
            <v>ID</v>
          </cell>
        </row>
      </sheetData>
      <sheetData sheetId="21">
        <row r="1">
          <cell r="A1" t="str">
            <v>ID</v>
          </cell>
        </row>
        <row r="2">
          <cell r="S2">
            <v>46</v>
          </cell>
        </row>
        <row r="3">
          <cell r="N3" t="str">
            <v>1.1 Salaries - program management</v>
          </cell>
        </row>
      </sheetData>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PR_Programmatic Progress_1A"/>
      <sheetName val="PR Programmatic Progress 1C"/>
      <sheetName val="PR_Grant Management_2"/>
      <sheetName val="PR_Total PR Cash Outflow_3A"/>
      <sheetName val="EFR Malaria Financial Data_3B"/>
      <sheetName val="EFR TB Financial Data_3B"/>
      <sheetName val="EFR HIV AIDS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 Programmatic Progress 1C"/>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Sheet3"/>
      <sheetName val="Annex for additional info"/>
      <sheetName val="Memo HIV"/>
      <sheetName val="Memo TB"/>
      <sheetName val="Memo Malaria"/>
      <sheetName val="Definitions-lists-EFR"/>
      <sheetName val="Sheet2"/>
      <sheetName val="PR RFR_7"/>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A2" t="str">
            <v>please select…</v>
          </cell>
        </row>
        <row r="3">
          <cell r="A3" t="str">
            <v>Prevention:  Behavioral Change Communication - Mass media</v>
          </cell>
        </row>
        <row r="4">
          <cell r="A4" t="str">
            <v>Prevention:  Behavioral Change Communication - community outreach</v>
          </cell>
        </row>
        <row r="5">
          <cell r="A5" t="str">
            <v>Prevention: Insecticide-treated nets (ITNs)</v>
          </cell>
        </row>
        <row r="6">
          <cell r="A6" t="str">
            <v>Prevention: Malaria prevention during pregnancy</v>
          </cell>
        </row>
        <row r="7">
          <cell r="A7" t="str">
            <v>Prevention: Vector control (other than ITNs)</v>
          </cell>
        </row>
        <row r="8">
          <cell r="A8" t="str">
            <v>Prevention: other - specify</v>
          </cell>
        </row>
        <row r="9">
          <cell r="A9" t="str">
            <v>Treatment: Prompt, effective anti-malarial treatment</v>
          </cell>
        </row>
        <row r="10">
          <cell r="A10" t="str">
            <v>Treatment: Home based management of malaria</v>
          </cell>
        </row>
        <row r="11">
          <cell r="A11" t="str">
            <v>Treatment: Diagnosis</v>
          </cell>
        </row>
        <row r="12">
          <cell r="A12" t="str">
            <v>Treatment: other - specify</v>
          </cell>
        </row>
        <row r="13">
          <cell r="A13" t="str">
            <v>Supportive environment: Monitoring drug resistance</v>
          </cell>
        </row>
        <row r="14">
          <cell r="A14" t="str">
            <v>Supportive environment: Monitoring insecticide resistance</v>
          </cell>
        </row>
        <row r="15">
          <cell r="A15" t="str">
            <v>Supportive environment: Coordination and partnership development (national, community, public-private)</v>
          </cell>
        </row>
        <row r="16">
          <cell r="A16" t="str">
            <v>Supportive environment: other - specify</v>
          </cell>
        </row>
        <row r="17">
          <cell r="A17" t="str">
            <v>Supportive environment: Program management and administration</v>
          </cell>
        </row>
        <row r="18">
          <cell r="A18" t="str">
            <v>HSS: Service delivery</v>
          </cell>
        </row>
        <row r="19">
          <cell r="A19" t="str">
            <v>HSS: Human resources</v>
          </cell>
        </row>
        <row r="20">
          <cell r="A20" t="str">
            <v>HSS: Community Systems Strengthening</v>
          </cell>
        </row>
        <row r="21">
          <cell r="A21" t="str">
            <v>HSS: Information system &amp; Operational research</v>
          </cell>
        </row>
        <row r="22">
          <cell r="A22" t="str">
            <v>HSS: Infrastructure</v>
          </cell>
        </row>
        <row r="23">
          <cell r="A23" t="str">
            <v>HSS: Procurement and Supply management</v>
          </cell>
        </row>
        <row r="24">
          <cell r="A24" t="str">
            <v>HSS: other - specify</v>
          </cell>
        </row>
      </sheetData>
      <sheetData sheetId="34">
        <row r="21">
          <cell r="A21" t="str">
            <v>Please Select…</v>
          </cell>
        </row>
        <row r="22">
          <cell r="A22" t="str">
            <v>Prevention</v>
          </cell>
        </row>
        <row r="23">
          <cell r="A23" t="str">
            <v>Treatment</v>
          </cell>
        </row>
        <row r="24">
          <cell r="A24" t="str">
            <v>Supportive Environment</v>
          </cell>
        </row>
        <row r="25">
          <cell r="A25" t="str">
            <v>Health System Strengthening (HSS)</v>
          </cell>
        </row>
        <row r="58">
          <cell r="A58" t="str">
            <v>Please Select…</v>
          </cell>
        </row>
        <row r="59">
          <cell r="A59" t="str">
            <v>FBO</v>
          </cell>
        </row>
        <row r="60">
          <cell r="A60" t="str">
            <v>NGO/CBO/Academic</v>
          </cell>
        </row>
        <row r="61">
          <cell r="A61" t="str">
            <v>Private Sector</v>
          </cell>
        </row>
        <row r="62">
          <cell r="A62" t="str">
            <v>Ministry Health (MoH)</v>
          </cell>
        </row>
        <row r="63">
          <cell r="A63" t="str">
            <v>Other Government</v>
          </cell>
        </row>
        <row r="64">
          <cell r="A64" t="str">
            <v>UNDP</v>
          </cell>
        </row>
        <row r="65">
          <cell r="A65" t="str">
            <v>Other Multilateral Organization</v>
          </cell>
        </row>
      </sheetData>
      <sheetData sheetId="35" refreshError="1"/>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nput"/>
      <sheetName val="Results"/>
      <sheetName val="Country"/>
      <sheetName val="Grant"/>
      <sheetName val="Coverage Indicators_1B"/>
      <sheetName val="Impact Outcome Indicators_1A"/>
    </sheetNames>
    <sheetDataSet>
      <sheetData sheetId="0">
        <row r="2">
          <cell r="B2" t="str">
            <v>AFG-011-G12-T</v>
          </cell>
          <cell r="C2" t="str">
            <v>Financial Closure</v>
          </cell>
          <cell r="D2" t="str">
            <v>South East Asia</v>
          </cell>
          <cell r="E2" t="str">
            <v>AFG</v>
          </cell>
          <cell r="F2" t="str">
            <v>Japan International Cooperation Agency in Afghanistan</v>
          </cell>
        </row>
        <row r="3">
          <cell r="B3" t="str">
            <v>AFG-012-G13-T</v>
          </cell>
          <cell r="C3" t="str">
            <v>Administratively Closed</v>
          </cell>
          <cell r="D3" t="str">
            <v>South East Asia</v>
          </cell>
          <cell r="E3" t="str">
            <v>AFG</v>
          </cell>
          <cell r="F3" t="str">
            <v>Ministry of Public Health of Afghanistan</v>
          </cell>
        </row>
        <row r="4">
          <cell r="B4" t="str">
            <v>AFG-202-G01-I-00</v>
          </cell>
          <cell r="C4" t="str">
            <v>Administratively Closed</v>
          </cell>
          <cell r="D4" t="str">
            <v>South East Asia</v>
          </cell>
          <cell r="E4" t="str">
            <v>AFG</v>
          </cell>
          <cell r="F4" t="str">
            <v>Ministry of Public Health of Afghanistan</v>
          </cell>
        </row>
        <row r="5">
          <cell r="B5" t="str">
            <v>AFG-405-G02-T</v>
          </cell>
          <cell r="C5" t="str">
            <v>Administratively Closed</v>
          </cell>
          <cell r="D5" t="str">
            <v>South East Asia</v>
          </cell>
          <cell r="E5" t="str">
            <v>AFG</v>
          </cell>
          <cell r="F5" t="str">
            <v>Ministry of Public Health of Afghanistan</v>
          </cell>
        </row>
        <row r="6">
          <cell r="B6" t="str">
            <v>AFG-506-G03-M</v>
          </cell>
          <cell r="C6" t="str">
            <v>Financial Closure</v>
          </cell>
          <cell r="D6" t="str">
            <v>South East Asia</v>
          </cell>
          <cell r="E6" t="str">
            <v>AFG</v>
          </cell>
          <cell r="F6" t="str">
            <v>Ministry of Public Health of Afghanistan</v>
          </cell>
        </row>
        <row r="7">
          <cell r="B7" t="str">
            <v>AFG-509-G06-M</v>
          </cell>
          <cell r="C7" t="str">
            <v>Administratively Closed</v>
          </cell>
          <cell r="D7" t="str">
            <v>South East Asia</v>
          </cell>
          <cell r="E7" t="str">
            <v>AFG</v>
          </cell>
          <cell r="F7" t="str">
            <v>HealthNet TPO</v>
          </cell>
        </row>
        <row r="8">
          <cell r="B8" t="str">
            <v>AFG-708-G04-H</v>
          </cell>
          <cell r="C8" t="str">
            <v>Active</v>
          </cell>
          <cell r="D8" t="str">
            <v>South East Asia</v>
          </cell>
          <cell r="E8" t="str">
            <v>AFG</v>
          </cell>
          <cell r="F8" t="str">
            <v>Ministry of Public Health of Afghanistan</v>
          </cell>
        </row>
        <row r="9">
          <cell r="B9" t="str">
            <v>AFG-708-G05-H</v>
          </cell>
          <cell r="C9" t="str">
            <v>Active</v>
          </cell>
          <cell r="D9" t="str">
            <v>South East Asia</v>
          </cell>
          <cell r="E9" t="str">
            <v>AFG</v>
          </cell>
          <cell r="F9" t="str">
            <v>German Technical Cooperation GTZ-IS</v>
          </cell>
        </row>
        <row r="10">
          <cell r="B10" t="str">
            <v>AFG-809-G07-T</v>
          </cell>
          <cell r="C10" t="str">
            <v>Active</v>
          </cell>
          <cell r="D10" t="str">
            <v>South East Asia</v>
          </cell>
          <cell r="E10" t="str">
            <v>AFG</v>
          </cell>
          <cell r="F10" t="str">
            <v>Bangladesh Rural Advancement Committee, Afghanistan</v>
          </cell>
        </row>
        <row r="11">
          <cell r="B11" t="str">
            <v>AFG-809-G08-M</v>
          </cell>
          <cell r="C11" t="str">
            <v>Administratively Closed</v>
          </cell>
          <cell r="D11" t="str">
            <v>South East Asia</v>
          </cell>
          <cell r="E11" t="str">
            <v>AFG</v>
          </cell>
          <cell r="F11" t="str">
            <v>Ministry of Public Health of Afghanistan</v>
          </cell>
        </row>
        <row r="12">
          <cell r="B12" t="str">
            <v>AFG-809-G09-M</v>
          </cell>
          <cell r="C12" t="str">
            <v>Active</v>
          </cell>
          <cell r="D12" t="str">
            <v>South East Asia</v>
          </cell>
          <cell r="E12" t="str">
            <v>AFG</v>
          </cell>
          <cell r="F12" t="str">
            <v>HealthNet TPO</v>
          </cell>
        </row>
        <row r="13">
          <cell r="B13" t="str">
            <v>AFG-809-G10-M</v>
          </cell>
          <cell r="C13" t="str">
            <v>Active</v>
          </cell>
          <cell r="D13" t="str">
            <v>South East Asia</v>
          </cell>
          <cell r="E13" t="str">
            <v>AFG</v>
          </cell>
          <cell r="F13" t="str">
            <v>Bangladesh Rural Advancement Committee, Afghanistan</v>
          </cell>
        </row>
        <row r="14">
          <cell r="B14" t="str">
            <v>AFG-812-G14-M</v>
          </cell>
          <cell r="C14" t="str">
            <v>Active</v>
          </cell>
          <cell r="D14" t="str">
            <v>South East Asia</v>
          </cell>
          <cell r="E14" t="str">
            <v>AFG</v>
          </cell>
          <cell r="F14" t="str">
            <v>Ministry of Public Health of Afghanistan</v>
          </cell>
        </row>
        <row r="15">
          <cell r="B15" t="str">
            <v>AFG-S-MOPH</v>
          </cell>
          <cell r="C15" t="str">
            <v>Active</v>
          </cell>
          <cell r="D15" t="str">
            <v>South East Asia</v>
          </cell>
          <cell r="E15" t="str">
            <v>AFG</v>
          </cell>
          <cell r="F15" t="str">
            <v>Ministry of Public Health of Afghanistan</v>
          </cell>
        </row>
        <row r="16">
          <cell r="B16" t="str">
            <v>AFG-S-UNDP</v>
          </cell>
          <cell r="C16" t="str">
            <v>N.D.</v>
          </cell>
          <cell r="D16" t="str">
            <v>South East Asia</v>
          </cell>
          <cell r="E16" t="str">
            <v>AFG</v>
          </cell>
          <cell r="F16" t="str">
            <v>Not Defined</v>
          </cell>
        </row>
        <row r="17">
          <cell r="B17" t="str">
            <v>AFG-T-MOPH</v>
          </cell>
          <cell r="C17" t="str">
            <v>N.D.</v>
          </cell>
          <cell r="D17" t="str">
            <v>South East Asia</v>
          </cell>
          <cell r="E17" t="str">
            <v>AFG</v>
          </cell>
          <cell r="F17" t="str">
            <v>Not Defined</v>
          </cell>
        </row>
        <row r="18">
          <cell r="B18" t="str">
            <v>AFG-T-UNDP</v>
          </cell>
          <cell r="C18" t="str">
            <v>N.D.</v>
          </cell>
          <cell r="D18" t="str">
            <v>South East Asia</v>
          </cell>
          <cell r="E18" t="str">
            <v>AFG</v>
          </cell>
          <cell r="F18" t="str">
            <v>Not Defined</v>
          </cell>
        </row>
        <row r="19">
          <cell r="B19" t="str">
            <v>ALB-506-G01-H</v>
          </cell>
          <cell r="C19" t="str">
            <v>Active</v>
          </cell>
          <cell r="D19" t="str">
            <v>Eastern Europe and Central Asia</v>
          </cell>
          <cell r="E19" t="str">
            <v>ALB</v>
          </cell>
          <cell r="F19" t="str">
            <v>Institute of Public Health, Ministry of Health in Albania</v>
          </cell>
        </row>
        <row r="20">
          <cell r="B20" t="str">
            <v>ALB-506-G02-T</v>
          </cell>
          <cell r="C20" t="str">
            <v>Administratively Closed</v>
          </cell>
          <cell r="D20" t="str">
            <v>Eastern Europe and Central Asia</v>
          </cell>
          <cell r="E20" t="str">
            <v>ALB</v>
          </cell>
          <cell r="F20" t="str">
            <v>Institute of Public Health, Ministry of Health in Albania</v>
          </cell>
        </row>
        <row r="21">
          <cell r="B21" t="str">
            <v>DZA-304-G01-H</v>
          </cell>
          <cell r="C21" t="str">
            <v>Administratively Closed</v>
          </cell>
          <cell r="D21" t="str">
            <v>Middle East and North Africa</v>
          </cell>
          <cell r="E21" t="str">
            <v>DZA</v>
          </cell>
          <cell r="F21" t="str">
            <v>Ministry of Health, Population and Hospital Reform of Algeria</v>
          </cell>
        </row>
        <row r="22">
          <cell r="B22" t="str">
            <v>AGO-305-G01-M</v>
          </cell>
          <cell r="C22" t="str">
            <v>Financial Closure</v>
          </cell>
          <cell r="D22" t="str">
            <v>Southern and Eastern Africa</v>
          </cell>
          <cell r="E22" t="str">
            <v>AGO</v>
          </cell>
          <cell r="F22" t="str">
            <v>United Nations Development Programme, Angola</v>
          </cell>
        </row>
        <row r="23">
          <cell r="B23" t="str">
            <v>AGO-405-G02-T</v>
          </cell>
          <cell r="C23" t="str">
            <v>Financially Closed</v>
          </cell>
          <cell r="D23" t="str">
            <v>Southern and Eastern Africa</v>
          </cell>
          <cell r="E23" t="str">
            <v>AGO</v>
          </cell>
          <cell r="F23" t="str">
            <v>United Nations Development Programme, Angola</v>
          </cell>
        </row>
        <row r="24">
          <cell r="B24" t="str">
            <v>AGO-405-G03-H</v>
          </cell>
          <cell r="C24" t="str">
            <v>Active</v>
          </cell>
          <cell r="D24" t="str">
            <v>Southern and Eastern Africa</v>
          </cell>
          <cell r="E24" t="str">
            <v>AGO</v>
          </cell>
          <cell r="F24" t="str">
            <v>United Nations Development Programme, Angola</v>
          </cell>
        </row>
        <row r="25">
          <cell r="B25" t="str">
            <v>AGO-708-G04-M</v>
          </cell>
          <cell r="C25" t="str">
            <v>Financially Closed</v>
          </cell>
          <cell r="D25" t="str">
            <v>Southern and Eastern Africa</v>
          </cell>
          <cell r="E25" t="str">
            <v>AGO</v>
          </cell>
          <cell r="F25" t="str">
            <v>Ministry of Health of Angola</v>
          </cell>
        </row>
        <row r="26">
          <cell r="B26" t="str">
            <v>AGO-911-G05-T</v>
          </cell>
          <cell r="C26" t="str">
            <v>Active</v>
          </cell>
          <cell r="D26" t="str">
            <v>Southern and Eastern Africa</v>
          </cell>
          <cell r="E26" t="str">
            <v>AGO</v>
          </cell>
          <cell r="F26" t="str">
            <v>Ministry of Health of Angola</v>
          </cell>
        </row>
        <row r="27">
          <cell r="B27" t="str">
            <v>AGO-M-MOH</v>
          </cell>
          <cell r="C27" t="str">
            <v>Active</v>
          </cell>
          <cell r="D27" t="str">
            <v>Southern and Eastern Africa</v>
          </cell>
          <cell r="E27" t="str">
            <v>AGO</v>
          </cell>
          <cell r="F27" t="str">
            <v>Ministry of Health of Angola</v>
          </cell>
        </row>
        <row r="28">
          <cell r="B28" t="str">
            <v>ARG-011-G03-H</v>
          </cell>
          <cell r="C28" t="str">
            <v>Financial Closure</v>
          </cell>
          <cell r="D28" t="str">
            <v>Latin America and Caribbean</v>
          </cell>
          <cell r="E28" t="str">
            <v>ARG</v>
          </cell>
          <cell r="F28" t="str">
            <v>UBATEC S.A.</v>
          </cell>
        </row>
        <row r="29">
          <cell r="B29" t="str">
            <v>ARG-102-G01-H-00</v>
          </cell>
          <cell r="C29" t="str">
            <v>Administratively Closed</v>
          </cell>
          <cell r="D29" t="str">
            <v>Latin America and Caribbean</v>
          </cell>
          <cell r="E29" t="str">
            <v>ARG</v>
          </cell>
          <cell r="F29" t="str">
            <v>United Nations Development Programme, Argentina</v>
          </cell>
        </row>
        <row r="30">
          <cell r="B30" t="str">
            <v>ARG-102-G02-H-00</v>
          </cell>
          <cell r="C30" t="str">
            <v>Administratively Closed</v>
          </cell>
          <cell r="D30" t="str">
            <v>Latin America and Caribbean</v>
          </cell>
          <cell r="E30" t="str">
            <v>ARG</v>
          </cell>
          <cell r="F30" t="str">
            <v>UBATEC S.A.</v>
          </cell>
        </row>
        <row r="31">
          <cell r="B31" t="str">
            <v>ARM-202-G01-H-00</v>
          </cell>
          <cell r="C31" t="str">
            <v>Administratively Closed</v>
          </cell>
          <cell r="D31" t="str">
            <v>Eastern Europe and Central Asia</v>
          </cell>
          <cell r="E31" t="str">
            <v>ARM</v>
          </cell>
          <cell r="F31" t="str">
            <v>World Vision Armenia</v>
          </cell>
        </row>
        <row r="32">
          <cell r="B32" t="str">
            <v>ARM-202-G05-H-00</v>
          </cell>
          <cell r="C32" t="str">
            <v>Active</v>
          </cell>
          <cell r="D32" t="str">
            <v>Eastern Europe and Central Asia</v>
          </cell>
          <cell r="E32" t="str">
            <v>ARM</v>
          </cell>
          <cell r="F32" t="str">
            <v>Ministry of Health of Armenia</v>
          </cell>
        </row>
        <row r="33">
          <cell r="B33" t="str">
            <v>ARM-202-G06-H-00</v>
          </cell>
          <cell r="C33" t="str">
            <v>Active</v>
          </cell>
          <cell r="D33" t="str">
            <v>Eastern Europe and Central Asia</v>
          </cell>
          <cell r="E33" t="str">
            <v>ARM</v>
          </cell>
          <cell r="F33" t="str">
            <v>Mission East</v>
          </cell>
        </row>
        <row r="34">
          <cell r="B34" t="str">
            <v>ARM-506-G02-T</v>
          </cell>
          <cell r="C34" t="str">
            <v>Administratively Closed</v>
          </cell>
          <cell r="D34" t="str">
            <v>Eastern Europe and Central Asia</v>
          </cell>
          <cell r="E34" t="str">
            <v>ARM</v>
          </cell>
          <cell r="F34" t="str">
            <v>Ministry of Health of Armenia</v>
          </cell>
        </row>
        <row r="35">
          <cell r="B35" t="str">
            <v>ARM-809-G03-T</v>
          </cell>
          <cell r="C35" t="str">
            <v>Administratively Closed</v>
          </cell>
          <cell r="D35" t="str">
            <v>Eastern Europe and Central Asia</v>
          </cell>
          <cell r="E35" t="str">
            <v>ARM</v>
          </cell>
          <cell r="F35" t="str">
            <v>Ministry of Health of Armenia</v>
          </cell>
        </row>
        <row r="36">
          <cell r="B36" t="str">
            <v>ARM-809-G04-S</v>
          </cell>
          <cell r="C36" t="str">
            <v>Active</v>
          </cell>
          <cell r="D36" t="str">
            <v>Eastern Europe and Central Asia</v>
          </cell>
          <cell r="E36" t="str">
            <v>ARM</v>
          </cell>
          <cell r="F36" t="str">
            <v>Ministry of Health of Armenia</v>
          </cell>
        </row>
        <row r="37">
          <cell r="B37" t="str">
            <v>ARM-T-MOH</v>
          </cell>
          <cell r="C37" t="str">
            <v>Active</v>
          </cell>
          <cell r="D37" t="str">
            <v>Eastern Europe and Central Asia</v>
          </cell>
          <cell r="E37" t="str">
            <v>ARM</v>
          </cell>
          <cell r="F37" t="str">
            <v>Ministry of Health of Armenia</v>
          </cell>
        </row>
        <row r="38">
          <cell r="B38" t="str">
            <v>AZE-405-G01-H</v>
          </cell>
          <cell r="C38" t="str">
            <v>Administratively Closed</v>
          </cell>
          <cell r="D38" t="str">
            <v>Eastern Europe and Central Asia</v>
          </cell>
          <cell r="E38" t="str">
            <v>AZE</v>
          </cell>
          <cell r="F38" t="str">
            <v>Ministry of Health of Azerbaijan</v>
          </cell>
        </row>
        <row r="39">
          <cell r="B39" t="str">
            <v>AZE-506-G02-T</v>
          </cell>
          <cell r="C39" t="str">
            <v>Administratively Closed</v>
          </cell>
          <cell r="D39" t="str">
            <v>Eastern Europe and Central Asia</v>
          </cell>
          <cell r="E39" t="str">
            <v>AZE</v>
          </cell>
          <cell r="F39" t="str">
            <v>Ministry of Health of Azerbaijan</v>
          </cell>
        </row>
        <row r="40">
          <cell r="B40" t="str">
            <v>AZE-708-G03-T</v>
          </cell>
          <cell r="C40" t="str">
            <v>Active</v>
          </cell>
          <cell r="D40" t="str">
            <v>Eastern Europe and Central Asia</v>
          </cell>
          <cell r="E40" t="str">
            <v>AZE</v>
          </cell>
          <cell r="F40" t="str">
            <v>Ministry of Health of Azerbaijan</v>
          </cell>
        </row>
        <row r="41">
          <cell r="B41" t="str">
            <v>AZE-708-G04-M</v>
          </cell>
          <cell r="C41" t="str">
            <v>Administratively Closed</v>
          </cell>
          <cell r="D41" t="str">
            <v>Eastern Europe and Central Asia</v>
          </cell>
          <cell r="E41" t="str">
            <v>AZE</v>
          </cell>
          <cell r="F41" t="str">
            <v>Ministry of Health of Azerbaijan</v>
          </cell>
        </row>
        <row r="42">
          <cell r="B42" t="str">
            <v>AZE-910-G05-H</v>
          </cell>
          <cell r="C42" t="str">
            <v>Active</v>
          </cell>
          <cell r="D42" t="str">
            <v>Eastern Europe and Central Asia</v>
          </cell>
          <cell r="E42" t="str">
            <v>AZE</v>
          </cell>
          <cell r="F42" t="str">
            <v>Ministry of Health of Azerbaijan</v>
          </cell>
        </row>
        <row r="43">
          <cell r="B43" t="str">
            <v>AZE-910-G06-T</v>
          </cell>
          <cell r="C43" t="str">
            <v>Active</v>
          </cell>
          <cell r="D43" t="str">
            <v>Eastern Europe and Central Asia</v>
          </cell>
          <cell r="E43" t="str">
            <v>AZE</v>
          </cell>
          <cell r="F43" t="str">
            <v>Ministry of Justice of Azerbaijan</v>
          </cell>
        </row>
        <row r="44">
          <cell r="B44" t="str">
            <v>BAN-202-G01-H-00</v>
          </cell>
          <cell r="C44" t="str">
            <v>Administratively Closed</v>
          </cell>
          <cell r="D44" t="str">
            <v>High Impact Asia</v>
          </cell>
          <cell r="E44" t="str">
            <v>BGD</v>
          </cell>
          <cell r="F44" t="str">
            <v>Ministry of Finance of Bangladesh</v>
          </cell>
        </row>
        <row r="45">
          <cell r="B45" t="str">
            <v>BAN-202-G11-H-00</v>
          </cell>
          <cell r="C45" t="str">
            <v>Financial Closure</v>
          </cell>
          <cell r="D45" t="str">
            <v>High Impact Asia</v>
          </cell>
          <cell r="E45" t="str">
            <v>BGD</v>
          </cell>
          <cell r="F45" t="str">
            <v>Ministry of Health and Family Welfare of Bangladesh</v>
          </cell>
        </row>
        <row r="46">
          <cell r="B46" t="str">
            <v>BAN-202-G12-H-00</v>
          </cell>
          <cell r="C46" t="str">
            <v>Active</v>
          </cell>
          <cell r="D46" t="str">
            <v>High Impact Asia</v>
          </cell>
          <cell r="E46" t="str">
            <v>BGD</v>
          </cell>
          <cell r="F46" t="str">
            <v>Save the Children Federation, Inc.</v>
          </cell>
        </row>
        <row r="47">
          <cell r="B47" t="str">
            <v>BAN-202-G13-H-00</v>
          </cell>
          <cell r="C47" t="str">
            <v>Active</v>
          </cell>
          <cell r="D47" t="str">
            <v>High Impact Asia</v>
          </cell>
          <cell r="E47" t="str">
            <v>BGD</v>
          </cell>
          <cell r="F47" t="str">
            <v>International Centre for Diarrhoeal Disease Research</v>
          </cell>
        </row>
        <row r="48">
          <cell r="B48" t="str">
            <v>BAN-304-G02-T</v>
          </cell>
          <cell r="C48" t="str">
            <v>Administratively Closed</v>
          </cell>
          <cell r="D48" t="str">
            <v>High Impact Asia</v>
          </cell>
          <cell r="E48" t="str">
            <v>BGD</v>
          </cell>
          <cell r="F48" t="str">
            <v>Bangladesh Rural Advancement Committee, Bangladesh</v>
          </cell>
        </row>
        <row r="49">
          <cell r="B49" t="str">
            <v>BAN-304-G03-T</v>
          </cell>
          <cell r="C49" t="str">
            <v>Administratively Closed</v>
          </cell>
          <cell r="D49" t="str">
            <v>High Impact Asia</v>
          </cell>
          <cell r="E49" t="str">
            <v>BGD</v>
          </cell>
          <cell r="F49" t="str">
            <v>Ministry of Finance of Bangladesh</v>
          </cell>
        </row>
        <row r="50">
          <cell r="B50" t="str">
            <v>BAN-506-G04-T</v>
          </cell>
          <cell r="C50" t="str">
            <v>Administratively Closed</v>
          </cell>
          <cell r="D50" t="str">
            <v>High Impact Asia</v>
          </cell>
          <cell r="E50" t="str">
            <v>BGD</v>
          </cell>
          <cell r="F50" t="str">
            <v>Bangladesh Rural Advancement Committee, Bangladesh</v>
          </cell>
        </row>
        <row r="51">
          <cell r="B51" t="str">
            <v>BAN-506-G05-T</v>
          </cell>
          <cell r="C51" t="str">
            <v>Administratively Closed</v>
          </cell>
          <cell r="D51" t="str">
            <v>High Impact Asia</v>
          </cell>
          <cell r="E51" t="str">
            <v>BGD</v>
          </cell>
          <cell r="F51" t="str">
            <v>Ministry of Finance of Bangladesh</v>
          </cell>
        </row>
        <row r="52">
          <cell r="B52" t="str">
            <v>BAN-607-G06-M</v>
          </cell>
          <cell r="C52" t="str">
            <v>Administratively Closed</v>
          </cell>
          <cell r="D52" t="str">
            <v>High Impact Asia</v>
          </cell>
          <cell r="E52" t="str">
            <v>BGD</v>
          </cell>
          <cell r="F52" t="str">
            <v>Bangladesh Rural Advancement Committee, Bangladesh</v>
          </cell>
        </row>
        <row r="53">
          <cell r="B53" t="str">
            <v>BAN-607-G07-M</v>
          </cell>
          <cell r="C53" t="str">
            <v>Administratively Closed</v>
          </cell>
          <cell r="D53" t="str">
            <v>High Impact Asia</v>
          </cell>
          <cell r="E53" t="str">
            <v>BGD</v>
          </cell>
          <cell r="F53" t="str">
            <v>Ministry of Finance of Bangladesh</v>
          </cell>
        </row>
        <row r="54">
          <cell r="B54" t="str">
            <v>BAN-607-G08-H</v>
          </cell>
          <cell r="C54" t="str">
            <v>Administratively Closed</v>
          </cell>
          <cell r="D54" t="str">
            <v>High Impact Asia</v>
          </cell>
          <cell r="E54" t="str">
            <v>BGD</v>
          </cell>
          <cell r="F54" t="str">
            <v>Ministry of Finance of Bangladesh</v>
          </cell>
        </row>
        <row r="55">
          <cell r="B55" t="str">
            <v>BAN-809-G09-T</v>
          </cell>
          <cell r="C55" t="str">
            <v>Administratively Closed</v>
          </cell>
          <cell r="D55" t="str">
            <v>High Impact Asia</v>
          </cell>
          <cell r="E55" t="str">
            <v>BGD</v>
          </cell>
          <cell r="F55" t="str">
            <v>Ministry of Finance of Bangladesh</v>
          </cell>
        </row>
        <row r="56">
          <cell r="B56" t="str">
            <v>BAN-809-G10-T</v>
          </cell>
          <cell r="C56" t="str">
            <v>Administratively Closed</v>
          </cell>
          <cell r="D56" t="str">
            <v>High Impact Asia</v>
          </cell>
          <cell r="E56" t="str">
            <v>BGD</v>
          </cell>
          <cell r="F56" t="str">
            <v>Bangladesh Rural Advancement Committee, Bangladesh</v>
          </cell>
        </row>
        <row r="57">
          <cell r="B57" t="str">
            <v>BAN-M-BRAC</v>
          </cell>
          <cell r="C57" t="str">
            <v>Active</v>
          </cell>
          <cell r="D57" t="str">
            <v>High Impact Asia</v>
          </cell>
          <cell r="E57" t="str">
            <v>BGD</v>
          </cell>
          <cell r="F57" t="str">
            <v>Bangladesh Rural Advancement Committee, Bangladesh</v>
          </cell>
        </row>
        <row r="58">
          <cell r="B58" t="str">
            <v>BAN-M-NMCP</v>
          </cell>
          <cell r="C58" t="str">
            <v>Active</v>
          </cell>
          <cell r="D58" t="str">
            <v>High Impact Asia</v>
          </cell>
          <cell r="E58" t="str">
            <v>BGD</v>
          </cell>
          <cell r="F58" t="str">
            <v>Ministry of Finance of Bangladesh</v>
          </cell>
        </row>
        <row r="59">
          <cell r="B59" t="str">
            <v>BAN-T-BRAC</v>
          </cell>
          <cell r="C59" t="str">
            <v>Active</v>
          </cell>
          <cell r="D59" t="str">
            <v>High Impact Asia</v>
          </cell>
          <cell r="E59" t="str">
            <v>BGD</v>
          </cell>
          <cell r="F59" t="str">
            <v>Bangladesh Rural Advancement Committee, Bangladesh</v>
          </cell>
        </row>
        <row r="60">
          <cell r="B60" t="str">
            <v>BAN-T-NTP</v>
          </cell>
          <cell r="C60" t="str">
            <v>Active</v>
          </cell>
          <cell r="D60" t="str">
            <v>High Impact Asia</v>
          </cell>
          <cell r="E60" t="str">
            <v>BGD</v>
          </cell>
          <cell r="F60" t="str">
            <v>National Tuberculosis Control Program, Ministry of Health and Family Welfare of Bangladesh</v>
          </cell>
        </row>
        <row r="61">
          <cell r="B61" t="str">
            <v>BGD-M-BRAC</v>
          </cell>
          <cell r="C61" t="str">
            <v>Active</v>
          </cell>
          <cell r="D61" t="str">
            <v>High Impact Asia</v>
          </cell>
          <cell r="E61" t="str">
            <v>BGD</v>
          </cell>
          <cell r="F61" t="str">
            <v>Bangladesh Rural Advancement Committee, Bangladesh</v>
          </cell>
        </row>
        <row r="62">
          <cell r="B62" t="str">
            <v>BGD-M-NMCP</v>
          </cell>
          <cell r="C62" t="str">
            <v>Active</v>
          </cell>
          <cell r="D62" t="str">
            <v>High Impact Asia</v>
          </cell>
          <cell r="E62" t="str">
            <v>BGD</v>
          </cell>
          <cell r="F62" t="str">
            <v>National Malaria Control Program, Ministry of Health and Family Welfare of Bangladesh</v>
          </cell>
        </row>
        <row r="63">
          <cell r="B63" t="str">
            <v>BGD-T-BRAC</v>
          </cell>
          <cell r="C63" t="str">
            <v>Active</v>
          </cell>
          <cell r="D63" t="str">
            <v>High Impact Asia</v>
          </cell>
          <cell r="E63" t="str">
            <v>BGD</v>
          </cell>
          <cell r="F63" t="str">
            <v>Bangladesh Rural Advancement Committee, Bangladesh</v>
          </cell>
        </row>
        <row r="64">
          <cell r="B64" t="str">
            <v>BGD-T-NTP</v>
          </cell>
          <cell r="C64" t="str">
            <v>Active</v>
          </cell>
          <cell r="D64" t="str">
            <v>High Impact Asia</v>
          </cell>
          <cell r="E64" t="str">
            <v>BGD</v>
          </cell>
          <cell r="F64" t="str">
            <v>National Tuberculosis Control Program, Ministry of Health and Family Welfare of Bangladesh</v>
          </cell>
        </row>
        <row r="65">
          <cell r="B65" t="str">
            <v>BLR-304-G01-H</v>
          </cell>
          <cell r="C65" t="str">
            <v>Administratively Closed</v>
          </cell>
          <cell r="D65" t="str">
            <v>Eastern Europe and Central Asia</v>
          </cell>
          <cell r="E65" t="str">
            <v>BLR</v>
          </cell>
          <cell r="F65" t="str">
            <v>United Nations Development Programme, Belarus</v>
          </cell>
        </row>
        <row r="66">
          <cell r="B66" t="str">
            <v>BLR-607-G02-T</v>
          </cell>
          <cell r="C66" t="str">
            <v>Administratively Closed</v>
          </cell>
          <cell r="D66" t="str">
            <v>Eastern Europe and Central Asia</v>
          </cell>
          <cell r="E66" t="str">
            <v>BLR</v>
          </cell>
          <cell r="F66" t="str">
            <v>United Nations Development Programme, Belarus</v>
          </cell>
        </row>
        <row r="67">
          <cell r="B67" t="str">
            <v>BLR-809-G03-H</v>
          </cell>
          <cell r="C67" t="str">
            <v>Administratively Closed</v>
          </cell>
          <cell r="D67" t="str">
            <v>Eastern Europe and Central Asia</v>
          </cell>
          <cell r="E67" t="str">
            <v>BLR</v>
          </cell>
          <cell r="F67" t="str">
            <v>United Nations Development Programme, Belarus</v>
          </cell>
        </row>
        <row r="68">
          <cell r="B68" t="str">
            <v>BLR-H-UNDP</v>
          </cell>
          <cell r="C68" t="str">
            <v>Active</v>
          </cell>
          <cell r="D68" t="str">
            <v>Eastern Europe and Central Asia</v>
          </cell>
          <cell r="E68" t="str">
            <v>BLR</v>
          </cell>
          <cell r="F68" t="str">
            <v>United Nations Development Programme, Belarus</v>
          </cell>
        </row>
        <row r="69">
          <cell r="B69" t="str">
            <v>BLR-S10-G04-T</v>
          </cell>
          <cell r="C69" t="str">
            <v>Active</v>
          </cell>
          <cell r="D69" t="str">
            <v>Eastern Europe and Central Asia</v>
          </cell>
          <cell r="E69" t="str">
            <v>BLR</v>
          </cell>
          <cell r="F69" t="str">
            <v>United Nations Development Programme, Belarus</v>
          </cell>
        </row>
        <row r="70">
          <cell r="B70" t="str">
            <v>BEL-304-G01-H</v>
          </cell>
          <cell r="C70" t="str">
            <v>Administratively Closed</v>
          </cell>
          <cell r="D70" t="str">
            <v>Latin America and Caribbean</v>
          </cell>
          <cell r="E70" t="str">
            <v>BLZ</v>
          </cell>
          <cell r="F70" t="str">
            <v>Belize Enterprise for Sustainable Technology</v>
          </cell>
        </row>
        <row r="71">
          <cell r="B71" t="str">
            <v>BEL-910-G02-H</v>
          </cell>
          <cell r="C71" t="str">
            <v>Active</v>
          </cell>
          <cell r="D71" t="str">
            <v>Latin America and Caribbean</v>
          </cell>
          <cell r="E71" t="str">
            <v>BLZ</v>
          </cell>
          <cell r="F71" t="str">
            <v>United Nations Development Programme, Belize</v>
          </cell>
        </row>
        <row r="72">
          <cell r="B72" t="str">
            <v>BEN-102-G01-M-00</v>
          </cell>
          <cell r="C72" t="str">
            <v>Financial Closure</v>
          </cell>
          <cell r="D72" t="str">
            <v>Central Africa</v>
          </cell>
          <cell r="E72" t="str">
            <v>BEN</v>
          </cell>
          <cell r="F72" t="str">
            <v>United Nations Development Programme, Benin</v>
          </cell>
        </row>
        <row r="73">
          <cell r="B73" t="str">
            <v>BEN-202-G02-T-00</v>
          </cell>
          <cell r="C73" t="str">
            <v>Administratively Closed</v>
          </cell>
          <cell r="D73" t="str">
            <v>Central Africa</v>
          </cell>
          <cell r="E73" t="str">
            <v>BEN</v>
          </cell>
          <cell r="F73" t="str">
            <v>United Nations Development Programme, Benin</v>
          </cell>
        </row>
        <row r="74">
          <cell r="B74" t="str">
            <v>BEN-202-G03-H-00</v>
          </cell>
          <cell r="C74" t="str">
            <v>Administratively Closed</v>
          </cell>
          <cell r="D74" t="str">
            <v>Central Africa</v>
          </cell>
          <cell r="E74" t="str">
            <v>BEN</v>
          </cell>
          <cell r="F74" t="str">
            <v>United Nations Development Programme, Benin</v>
          </cell>
        </row>
        <row r="75">
          <cell r="B75" t="str">
            <v>BEN-304-G04-M</v>
          </cell>
          <cell r="C75" t="str">
            <v>Active</v>
          </cell>
          <cell r="D75" t="str">
            <v>Central Africa</v>
          </cell>
          <cell r="E75" t="str">
            <v>BEN</v>
          </cell>
          <cell r="F75" t="str">
            <v>Africare</v>
          </cell>
        </row>
        <row r="76">
          <cell r="B76" t="str">
            <v>BEN-506-G05-H</v>
          </cell>
          <cell r="C76" t="str">
            <v>Administratively Closed</v>
          </cell>
          <cell r="D76" t="str">
            <v>Central Africa</v>
          </cell>
          <cell r="E76" t="str">
            <v>BEN</v>
          </cell>
          <cell r="F76" t="str">
            <v>Programme National de Lutte contre le SIDA, Ministry of Health of Benin</v>
          </cell>
        </row>
        <row r="77">
          <cell r="B77" t="str">
            <v>BEN-607-G06-T</v>
          </cell>
          <cell r="C77" t="str">
            <v>Administratively Closed</v>
          </cell>
          <cell r="D77" t="str">
            <v>Central Africa</v>
          </cell>
          <cell r="E77" t="str">
            <v>BEN</v>
          </cell>
          <cell r="F77" t="str">
            <v>Programme National de Lutte contre le SIDA, Ministry of Health of Benin</v>
          </cell>
        </row>
        <row r="78">
          <cell r="B78" t="str">
            <v>BEN-708-G07-M</v>
          </cell>
          <cell r="C78" t="str">
            <v>Active</v>
          </cell>
          <cell r="D78" t="str">
            <v>Central Africa</v>
          </cell>
          <cell r="E78" t="str">
            <v>BEN</v>
          </cell>
          <cell r="F78" t="str">
            <v>Catholic Relief Services USCCB - Benin</v>
          </cell>
        </row>
        <row r="79">
          <cell r="B79" t="str">
            <v>BEN-H-BENPNLS</v>
          </cell>
          <cell r="C79" t="str">
            <v>Active</v>
          </cell>
          <cell r="D79" t="str">
            <v>Central Africa</v>
          </cell>
          <cell r="E79" t="str">
            <v>BEN</v>
          </cell>
          <cell r="F79" t="str">
            <v>Programme National de Lutte contre le SIDA, Ministry of Health of Benin</v>
          </cell>
        </row>
        <row r="80">
          <cell r="B80" t="str">
            <v>BEN-H-PlanBen</v>
          </cell>
          <cell r="C80" t="str">
            <v>Active</v>
          </cell>
          <cell r="D80" t="str">
            <v>Central Africa</v>
          </cell>
          <cell r="E80" t="str">
            <v>BEN</v>
          </cell>
          <cell r="F80" t="str">
            <v>Plan Benin</v>
          </cell>
        </row>
        <row r="81">
          <cell r="B81" t="str">
            <v>BEN-H-SEIBsa</v>
          </cell>
          <cell r="C81" t="str">
            <v>Active</v>
          </cell>
          <cell r="D81" t="str">
            <v>Central Africa</v>
          </cell>
          <cell r="E81" t="str">
            <v>BEN</v>
          </cell>
          <cell r="F81" t="str">
            <v>Industrial and Building Electricity Company</v>
          </cell>
        </row>
        <row r="82">
          <cell r="B82" t="str">
            <v>BEN-S-PRPSS</v>
          </cell>
          <cell r="C82" t="str">
            <v>Active</v>
          </cell>
          <cell r="D82" t="str">
            <v>Central Africa</v>
          </cell>
          <cell r="E82" t="str">
            <v>BEN</v>
          </cell>
          <cell r="F82" t="str">
            <v>Health System Performance Project, Ministry of Health of Benin</v>
          </cell>
        </row>
        <row r="83">
          <cell r="B83" t="str">
            <v>BEN-T-PNTUB</v>
          </cell>
          <cell r="C83" t="str">
            <v>Active</v>
          </cell>
          <cell r="D83" t="str">
            <v>Central Africa</v>
          </cell>
          <cell r="E83" t="str">
            <v>BEN</v>
          </cell>
          <cell r="F83" t="str">
            <v>Programme National contre la Tuberculose, Ministry of Health of Benin</v>
          </cell>
        </row>
        <row r="84">
          <cell r="B84" t="str">
            <v>BTN-405-G01-M</v>
          </cell>
          <cell r="C84" t="str">
            <v>Administratively Closed</v>
          </cell>
          <cell r="D84" t="str">
            <v>South East Asia</v>
          </cell>
          <cell r="E84" t="str">
            <v>BTN</v>
          </cell>
          <cell r="F84" t="str">
            <v>Ministry of Health of Bhutan</v>
          </cell>
        </row>
        <row r="85">
          <cell r="B85" t="str">
            <v>BTN-405-G02-T</v>
          </cell>
          <cell r="C85" t="str">
            <v>Administratively Closed</v>
          </cell>
          <cell r="D85" t="str">
            <v>South East Asia</v>
          </cell>
          <cell r="E85" t="str">
            <v>BTN</v>
          </cell>
          <cell r="F85" t="str">
            <v>Ministry of Health of Bhutan</v>
          </cell>
        </row>
        <row r="86">
          <cell r="B86" t="str">
            <v>BTN-607-G03-H</v>
          </cell>
          <cell r="C86" t="str">
            <v>Active</v>
          </cell>
          <cell r="D86" t="str">
            <v>South East Asia</v>
          </cell>
          <cell r="E86" t="str">
            <v>BTN</v>
          </cell>
          <cell r="F86" t="str">
            <v>Ministry of Health of Bhutan</v>
          </cell>
        </row>
        <row r="87">
          <cell r="B87" t="str">
            <v>BTN-607-G04-T</v>
          </cell>
          <cell r="C87" t="str">
            <v>Active</v>
          </cell>
          <cell r="D87" t="str">
            <v>South East Asia</v>
          </cell>
          <cell r="E87" t="str">
            <v>BTN</v>
          </cell>
          <cell r="F87" t="str">
            <v>Ministry of Health of Bhutan</v>
          </cell>
        </row>
        <row r="88">
          <cell r="B88" t="str">
            <v>BTN-708-G05-M</v>
          </cell>
          <cell r="C88" t="str">
            <v>Active</v>
          </cell>
          <cell r="D88" t="str">
            <v>South East Asia</v>
          </cell>
          <cell r="E88" t="str">
            <v>BTN</v>
          </cell>
          <cell r="F88" t="str">
            <v>Ministry of Health of Bhutan</v>
          </cell>
        </row>
        <row r="89">
          <cell r="B89" t="str">
            <v>BOL-304-G01-H</v>
          </cell>
          <cell r="C89" t="str">
            <v>Administratively Closed</v>
          </cell>
          <cell r="D89" t="str">
            <v>Latin America and Caribbean</v>
          </cell>
          <cell r="E89" t="str">
            <v>BOL</v>
          </cell>
          <cell r="F89" t="str">
            <v>Centro de Investigación, Educación y Servicios</v>
          </cell>
        </row>
        <row r="90">
          <cell r="B90" t="str">
            <v>BOL-304-G02-M</v>
          </cell>
          <cell r="C90" t="str">
            <v>Administratively Closed</v>
          </cell>
          <cell r="D90" t="str">
            <v>Latin America and Caribbean</v>
          </cell>
          <cell r="E90" t="str">
            <v>BOL</v>
          </cell>
          <cell r="F90" t="str">
            <v>Centro de Investigación, Educación y Servicios</v>
          </cell>
        </row>
        <row r="91">
          <cell r="B91" t="str">
            <v>BOL-304-G03-T</v>
          </cell>
          <cell r="C91" t="str">
            <v>Administratively Closed</v>
          </cell>
          <cell r="D91" t="str">
            <v>Latin America and Caribbean</v>
          </cell>
          <cell r="E91" t="str">
            <v>BOL</v>
          </cell>
          <cell r="F91" t="str">
            <v>Centro de Investigación, Educación y Servicios</v>
          </cell>
        </row>
        <row r="92">
          <cell r="B92" t="str">
            <v>BOL-306-G04-H</v>
          </cell>
          <cell r="C92" t="str">
            <v>Administratively Closed</v>
          </cell>
          <cell r="D92" t="str">
            <v>Latin America and Caribbean</v>
          </cell>
          <cell r="E92" t="str">
            <v>BOL</v>
          </cell>
          <cell r="F92" t="str">
            <v>United Nations Development Programme, Bolivia</v>
          </cell>
        </row>
        <row r="93">
          <cell r="B93" t="str">
            <v>BOL-306-G05-M</v>
          </cell>
          <cell r="C93" t="str">
            <v>Administratively Closed</v>
          </cell>
          <cell r="D93" t="str">
            <v>Latin America and Caribbean</v>
          </cell>
          <cell r="E93" t="str">
            <v>BOL</v>
          </cell>
          <cell r="F93" t="str">
            <v>United Nations Development Programme, Bolivia</v>
          </cell>
        </row>
        <row r="94">
          <cell r="B94" t="str">
            <v>BOL-306-G06-T</v>
          </cell>
          <cell r="C94" t="str">
            <v>Administratively Closed</v>
          </cell>
          <cell r="D94" t="str">
            <v>Latin America and Caribbean</v>
          </cell>
          <cell r="E94" t="str">
            <v>BOL</v>
          </cell>
          <cell r="F94" t="str">
            <v>United Nations Development Programme, Bolivia</v>
          </cell>
        </row>
        <row r="95">
          <cell r="B95" t="str">
            <v>BOL-307-G07-H</v>
          </cell>
          <cell r="C95" t="str">
            <v>Administratively Closed</v>
          </cell>
          <cell r="D95" t="str">
            <v>Latin America and Caribbean</v>
          </cell>
          <cell r="E95" t="str">
            <v>BOL</v>
          </cell>
          <cell r="F95" t="str">
            <v>Humanist Institute for Development Cooperation</v>
          </cell>
        </row>
        <row r="96">
          <cell r="B96" t="str">
            <v>BOL-809-G08-M</v>
          </cell>
          <cell r="C96" t="str">
            <v>Active</v>
          </cell>
          <cell r="D96" t="str">
            <v>Latin America and Caribbean</v>
          </cell>
          <cell r="E96" t="str">
            <v>BOL</v>
          </cell>
          <cell r="F96" t="str">
            <v>United Nations Development Programme, Bolivia</v>
          </cell>
        </row>
        <row r="97">
          <cell r="B97" t="str">
            <v>BOL-910-G09-H</v>
          </cell>
          <cell r="C97" t="str">
            <v>Active</v>
          </cell>
          <cell r="D97" t="str">
            <v>Latin America and Caribbean</v>
          </cell>
          <cell r="E97" t="str">
            <v>BOL</v>
          </cell>
          <cell r="F97" t="str">
            <v>Humanist Institute for Development Cooperation</v>
          </cell>
        </row>
        <row r="98">
          <cell r="B98" t="str">
            <v>BOL-910-G10-T</v>
          </cell>
          <cell r="C98" t="str">
            <v>Financial Closure</v>
          </cell>
          <cell r="D98" t="str">
            <v>Latin America and Caribbean</v>
          </cell>
          <cell r="E98" t="str">
            <v>BOL</v>
          </cell>
          <cell r="F98" t="str">
            <v>United Nations Development Programme, Bolivia</v>
          </cell>
        </row>
        <row r="99">
          <cell r="B99" t="str">
            <v>BOL-913-G11-T</v>
          </cell>
          <cell r="C99" t="str">
            <v>Active</v>
          </cell>
          <cell r="D99" t="str">
            <v>Latin America and Caribbean</v>
          </cell>
          <cell r="E99" t="str">
            <v>BOL</v>
          </cell>
          <cell r="F99" t="str">
            <v>Prosalud</v>
          </cell>
        </row>
        <row r="100">
          <cell r="B100" t="str">
            <v>BIH-506-G01-H</v>
          </cell>
          <cell r="C100" t="str">
            <v>Administratively Closed</v>
          </cell>
          <cell r="D100" t="str">
            <v>Eastern Europe and Central Asia</v>
          </cell>
          <cell r="E100" t="str">
            <v>BIH</v>
          </cell>
          <cell r="F100" t="str">
            <v>United Nations Development Programme, Bosnia-Herzegovina</v>
          </cell>
        </row>
        <row r="101">
          <cell r="B101" t="str">
            <v>BIH-607-G02-T</v>
          </cell>
          <cell r="C101" t="str">
            <v>Administratively Closed</v>
          </cell>
          <cell r="D101" t="str">
            <v>Eastern Europe and Central Asia</v>
          </cell>
          <cell r="E101" t="str">
            <v>BIH</v>
          </cell>
          <cell r="F101" t="str">
            <v>United Nations Development Programme, Bosnia-Herzegovina</v>
          </cell>
        </row>
        <row r="102">
          <cell r="B102" t="str">
            <v>BIH-910-G03-H</v>
          </cell>
          <cell r="C102" t="str">
            <v>Active</v>
          </cell>
          <cell r="D102" t="str">
            <v>Eastern Europe and Central Asia</v>
          </cell>
          <cell r="E102" t="str">
            <v>BIH</v>
          </cell>
          <cell r="F102" t="str">
            <v>United Nations Development Programme, Bosnia-Herzegovina</v>
          </cell>
        </row>
        <row r="103">
          <cell r="B103" t="str">
            <v>BIH-T-UNDP</v>
          </cell>
          <cell r="C103" t="str">
            <v>Active</v>
          </cell>
          <cell r="D103" t="str">
            <v>Eastern Europe and Central Asia</v>
          </cell>
          <cell r="E103" t="str">
            <v>BIH</v>
          </cell>
          <cell r="F103" t="str">
            <v>United Nations Development Programme, Bosnia-Herzegovina</v>
          </cell>
        </row>
        <row r="104">
          <cell r="B104" t="str">
            <v>BOT-202-G01-H-00</v>
          </cell>
          <cell r="C104" t="str">
            <v>Administratively Closed</v>
          </cell>
          <cell r="D104" t="str">
            <v>Southern and Eastern Africa</v>
          </cell>
          <cell r="E104" t="str">
            <v>BWA</v>
          </cell>
          <cell r="F104" t="str">
            <v>Ministry of Finance and Development Planning of Botswana</v>
          </cell>
        </row>
        <row r="105">
          <cell r="B105" t="str">
            <v>BOT-506-G02-T</v>
          </cell>
          <cell r="C105" t="str">
            <v>Financial Closure</v>
          </cell>
          <cell r="D105" t="str">
            <v>Southern and Eastern Africa</v>
          </cell>
          <cell r="E105" t="str">
            <v>BWA</v>
          </cell>
          <cell r="F105" t="str">
            <v>Ministry of Finance and Development Planning of Botswana</v>
          </cell>
        </row>
        <row r="106">
          <cell r="B106" t="str">
            <v>BRA-506-G01-T</v>
          </cell>
          <cell r="C106" t="str">
            <v>Administratively Closed</v>
          </cell>
          <cell r="D106" t="str">
            <v>Latin America and Caribbean</v>
          </cell>
          <cell r="E106" t="str">
            <v>BRA</v>
          </cell>
          <cell r="F106" t="str">
            <v>Fundação Ataulpho de Paiva</v>
          </cell>
        </row>
        <row r="107">
          <cell r="B107" t="str">
            <v>BRA-506-G02-T</v>
          </cell>
          <cell r="C107" t="str">
            <v>Administratively Closed</v>
          </cell>
          <cell r="D107" t="str">
            <v>Latin America and Caribbean</v>
          </cell>
          <cell r="E107" t="str">
            <v>BRA</v>
          </cell>
          <cell r="F107" t="str">
            <v>Fundação Para O Desenvolvimento Científico E Tecnológico Em Saúde</v>
          </cell>
        </row>
        <row r="108">
          <cell r="B108" t="str">
            <v>BRA-809-G03-M</v>
          </cell>
          <cell r="C108" t="str">
            <v>Administratively Closed</v>
          </cell>
          <cell r="D108" t="str">
            <v>Latin America and Caribbean</v>
          </cell>
          <cell r="E108" t="str">
            <v>BRA</v>
          </cell>
          <cell r="F108" t="str">
            <v>Fundação Faculdade de Medicina</v>
          </cell>
        </row>
        <row r="109">
          <cell r="B109" t="str">
            <v>BRA-809-G04-M</v>
          </cell>
          <cell r="C109" t="str">
            <v>Administratively Closed</v>
          </cell>
          <cell r="D109" t="str">
            <v>Latin America and Caribbean</v>
          </cell>
          <cell r="E109" t="str">
            <v>BRA</v>
          </cell>
          <cell r="F109" t="str">
            <v>Fundação de Medicina Tropical Doutor Heitor Vieira Dourado</v>
          </cell>
        </row>
        <row r="110">
          <cell r="B110" t="str">
            <v>BUL-202-G01-H-00</v>
          </cell>
          <cell r="C110" t="str">
            <v>Active</v>
          </cell>
          <cell r="D110" t="str">
            <v>Eastern Europe and Central Asia</v>
          </cell>
          <cell r="E110" t="str">
            <v>BGR</v>
          </cell>
          <cell r="F110" t="str">
            <v>Ministry of Health of Bulgaria</v>
          </cell>
        </row>
        <row r="111">
          <cell r="B111" t="str">
            <v>BUL-607-G02-T</v>
          </cell>
          <cell r="C111" t="str">
            <v>Financial Closure</v>
          </cell>
          <cell r="D111" t="str">
            <v>Eastern Europe and Central Asia</v>
          </cell>
          <cell r="E111" t="str">
            <v>BGR</v>
          </cell>
          <cell r="F111" t="str">
            <v>Ministry of Health of Bulgaria</v>
          </cell>
        </row>
        <row r="112">
          <cell r="B112" t="str">
            <v>BUL-809-G03-T</v>
          </cell>
          <cell r="C112" t="str">
            <v>Active</v>
          </cell>
          <cell r="D112" t="str">
            <v>Eastern Europe and Central Asia</v>
          </cell>
          <cell r="E112" t="str">
            <v>BGR</v>
          </cell>
          <cell r="F112" t="str">
            <v>Ministry of Health of Bulgaria</v>
          </cell>
        </row>
        <row r="113">
          <cell r="B113" t="str">
            <v>BUR-202-G01-M-00</v>
          </cell>
          <cell r="C113" t="str">
            <v>Administratively Closed</v>
          </cell>
          <cell r="D113" t="str">
            <v>Central Africa</v>
          </cell>
          <cell r="E113" t="str">
            <v>BFA</v>
          </cell>
          <cell r="F113" t="str">
            <v>United Nations Development Programme, Burkina Faso</v>
          </cell>
        </row>
        <row r="114">
          <cell r="B114" t="str">
            <v>BUR-202-G02-H-00</v>
          </cell>
          <cell r="C114" t="str">
            <v>Administratively Closed</v>
          </cell>
          <cell r="D114" t="str">
            <v>Central Africa</v>
          </cell>
          <cell r="E114" t="str">
            <v>BFA</v>
          </cell>
          <cell r="F114" t="str">
            <v>United Nations Development Programme, Burkina Faso</v>
          </cell>
        </row>
        <row r="115">
          <cell r="B115" t="str">
            <v>BUR-202-G04-H-00</v>
          </cell>
          <cell r="C115" t="str">
            <v>Administratively Closed</v>
          </cell>
          <cell r="D115" t="str">
            <v>Central Africa</v>
          </cell>
          <cell r="E115" t="str">
            <v>BFA</v>
          </cell>
          <cell r="F115" t="str">
            <v>National Council to Fight Against HIV/AIDS</v>
          </cell>
        </row>
        <row r="116">
          <cell r="B116" t="str">
            <v>BUR-404-G03-T</v>
          </cell>
          <cell r="C116" t="str">
            <v>Administratively Closed</v>
          </cell>
          <cell r="D116" t="str">
            <v>Central Africa</v>
          </cell>
          <cell r="E116" t="str">
            <v>BFA</v>
          </cell>
          <cell r="F116" t="str">
            <v>United Nations Development Programme, Burkina Faso</v>
          </cell>
        </row>
        <row r="117">
          <cell r="B117" t="str">
            <v>BUR-407-G05-T</v>
          </cell>
          <cell r="C117" t="str">
            <v>Financial Closure</v>
          </cell>
          <cell r="D117" t="str">
            <v>Central Africa</v>
          </cell>
          <cell r="E117" t="str">
            <v>BFA</v>
          </cell>
          <cell r="F117" t="str">
            <v>National Council to Fight Against HIV/AIDS</v>
          </cell>
        </row>
        <row r="118">
          <cell r="B118" t="str">
            <v>BUR-607-G06-H</v>
          </cell>
          <cell r="C118" t="str">
            <v>Financial Closure</v>
          </cell>
          <cell r="D118" t="str">
            <v>Central Africa</v>
          </cell>
          <cell r="E118" t="str">
            <v>BFA</v>
          </cell>
          <cell r="F118" t="str">
            <v>National Council to Fight Against HIV/AIDS</v>
          </cell>
        </row>
        <row r="119">
          <cell r="B119" t="str">
            <v>BUR-708-G07-M</v>
          </cell>
          <cell r="C119" t="str">
            <v>Financial Closure</v>
          </cell>
          <cell r="D119" t="str">
            <v>Central Africa</v>
          </cell>
          <cell r="E119" t="str">
            <v>BFA</v>
          </cell>
          <cell r="F119" t="str">
            <v>National Council to Fight Against HIV/AIDS</v>
          </cell>
        </row>
        <row r="120">
          <cell r="B120" t="str">
            <v>BUR-809-G08-M</v>
          </cell>
          <cell r="C120" t="str">
            <v>Administratively Closed</v>
          </cell>
          <cell r="D120" t="str">
            <v>Central Africa</v>
          </cell>
          <cell r="E120" t="str">
            <v>BFA</v>
          </cell>
          <cell r="F120" t="str">
            <v>Programme d'Appui au Developpment Sanitaire</v>
          </cell>
        </row>
        <row r="121">
          <cell r="B121" t="str">
            <v>BUR-809-G09-M</v>
          </cell>
          <cell r="C121" t="str">
            <v>Administratively Closed</v>
          </cell>
          <cell r="D121" t="str">
            <v>Central Africa</v>
          </cell>
          <cell r="E121" t="str">
            <v>BFA</v>
          </cell>
          <cell r="F121" t="str">
            <v>Plan International Burkina Faso</v>
          </cell>
        </row>
        <row r="122">
          <cell r="B122" t="str">
            <v>BUR-810-G10-T</v>
          </cell>
          <cell r="C122" t="str">
            <v>Active</v>
          </cell>
          <cell r="D122" t="str">
            <v>Central Africa</v>
          </cell>
          <cell r="E122" t="str">
            <v>BFA</v>
          </cell>
          <cell r="F122" t="str">
            <v>Programme d'Appui au Developpment Sanitaire</v>
          </cell>
        </row>
        <row r="123">
          <cell r="B123" t="str">
            <v>BUR-810-G11-T</v>
          </cell>
          <cell r="C123" t="str">
            <v>Active</v>
          </cell>
          <cell r="D123" t="str">
            <v>Central Africa</v>
          </cell>
          <cell r="E123" t="str">
            <v>BFA</v>
          </cell>
          <cell r="F123" t="str">
            <v>Programme d’Appui au Monde Associatif et Communautaire</v>
          </cell>
        </row>
        <row r="124">
          <cell r="B124" t="str">
            <v>BUR-H-IPC</v>
          </cell>
          <cell r="C124" t="str">
            <v>Active</v>
          </cell>
          <cell r="D124" t="str">
            <v>Central Africa</v>
          </cell>
          <cell r="E124" t="str">
            <v>BFA</v>
          </cell>
          <cell r="F124" t="str">
            <v>Initiative Privée Communautaire</v>
          </cell>
        </row>
        <row r="125">
          <cell r="B125" t="str">
            <v>BUR-H-SPCNLS</v>
          </cell>
          <cell r="C125" t="str">
            <v>Active</v>
          </cell>
          <cell r="D125" t="str">
            <v>Central Africa</v>
          </cell>
          <cell r="E125" t="str">
            <v>BFA</v>
          </cell>
          <cell r="F125" t="str">
            <v>National Council to Fight Against HIV/AIDS</v>
          </cell>
        </row>
        <row r="126">
          <cell r="B126" t="str">
            <v>BUR-M-PADS</v>
          </cell>
          <cell r="C126" t="str">
            <v>Active</v>
          </cell>
          <cell r="D126" t="str">
            <v>Central Africa</v>
          </cell>
          <cell r="E126" t="str">
            <v>BFA</v>
          </cell>
          <cell r="F126" t="str">
            <v>Programme d'Appui au Developpment Sanitaire</v>
          </cell>
        </row>
        <row r="127">
          <cell r="B127" t="str">
            <v>BUR-M-PLAN</v>
          </cell>
          <cell r="C127" t="str">
            <v>Active</v>
          </cell>
          <cell r="D127" t="str">
            <v>Central Africa</v>
          </cell>
          <cell r="E127" t="str">
            <v>BFA</v>
          </cell>
          <cell r="F127" t="str">
            <v>Plan International Burkina Faso</v>
          </cell>
        </row>
        <row r="128">
          <cell r="B128" t="str">
            <v>BDI-M-SEPCNLS</v>
          </cell>
          <cell r="C128" t="str">
            <v>Active</v>
          </cell>
          <cell r="D128" t="str">
            <v>Central Africa</v>
          </cell>
          <cell r="E128" t="str">
            <v>BDI</v>
          </cell>
          <cell r="F128" t="str">
            <v>Conseil National de Lutte contre le SIDA (CNLS), Burundi</v>
          </cell>
        </row>
        <row r="129">
          <cell r="B129" t="str">
            <v>BRN-102-G01-H-00</v>
          </cell>
          <cell r="C129" t="str">
            <v>Financially Closed</v>
          </cell>
          <cell r="D129" t="str">
            <v>Central Africa</v>
          </cell>
          <cell r="E129" t="str">
            <v>BDI</v>
          </cell>
          <cell r="F129" t="str">
            <v>Conseil National de Lutte contre le SIDA (CNLS), Burundi</v>
          </cell>
        </row>
        <row r="130">
          <cell r="B130" t="str">
            <v>BRN-202-G02-M-00</v>
          </cell>
          <cell r="C130" t="str">
            <v>Administratively Closed</v>
          </cell>
          <cell r="D130" t="str">
            <v>Central Africa</v>
          </cell>
          <cell r="E130" t="str">
            <v>BDI</v>
          </cell>
          <cell r="F130" t="str">
            <v>Projet Sante et Population II, Ministry of Health of Burundi</v>
          </cell>
        </row>
        <row r="131">
          <cell r="B131" t="str">
            <v>BRN-202-G05-M-00</v>
          </cell>
          <cell r="C131" t="str">
            <v>Financial Closure</v>
          </cell>
          <cell r="D131" t="str">
            <v>Central Africa</v>
          </cell>
          <cell r="E131" t="str">
            <v>BDI</v>
          </cell>
          <cell r="F131" t="str">
            <v>Conseil National de Lutte contre le SIDA (CNLS), Burundi</v>
          </cell>
        </row>
        <row r="132">
          <cell r="B132" t="str">
            <v>BRN-405-G03-T</v>
          </cell>
          <cell r="C132" t="str">
            <v>Administratively Closed</v>
          </cell>
          <cell r="D132" t="str">
            <v>Central Africa</v>
          </cell>
          <cell r="E132" t="str">
            <v>BDI</v>
          </cell>
          <cell r="F132" t="str">
            <v>Programme National de Lutte contre la Tuberculose</v>
          </cell>
        </row>
        <row r="133">
          <cell r="B133" t="str">
            <v>BRN-506-G04-H</v>
          </cell>
          <cell r="C133" t="str">
            <v>Financial Closure</v>
          </cell>
          <cell r="D133" t="str">
            <v>Central Africa</v>
          </cell>
          <cell r="E133" t="str">
            <v>BDI</v>
          </cell>
          <cell r="F133" t="str">
            <v>Conseil National de Lutte contre le SIDA (CNLS), Burundi</v>
          </cell>
        </row>
        <row r="134">
          <cell r="B134" t="str">
            <v>BRN-708-G06-T</v>
          </cell>
          <cell r="C134" t="str">
            <v>Active</v>
          </cell>
          <cell r="D134" t="str">
            <v>Central Africa</v>
          </cell>
          <cell r="E134" t="str">
            <v>BDI</v>
          </cell>
          <cell r="F134" t="str">
            <v>Programme National de Lutte contre la Tuberculose</v>
          </cell>
        </row>
        <row r="135">
          <cell r="B135" t="str">
            <v>BRN-809-G07-H</v>
          </cell>
          <cell r="C135" t="str">
            <v>Active</v>
          </cell>
          <cell r="D135" t="str">
            <v>Central Africa</v>
          </cell>
          <cell r="E135" t="str">
            <v>BDI</v>
          </cell>
          <cell r="F135" t="str">
            <v>Conseil National de Lutte contre le SIDA (CNLS), Burundi</v>
          </cell>
        </row>
        <row r="136">
          <cell r="B136" t="str">
            <v>BRN-809-G08-H</v>
          </cell>
          <cell r="C136" t="str">
            <v>Administratively Closed</v>
          </cell>
          <cell r="D136" t="str">
            <v>Central Africa</v>
          </cell>
          <cell r="E136" t="str">
            <v>BDI</v>
          </cell>
          <cell r="F136" t="str">
            <v>Reseau Burundais des Personnes Vivant avec le VIH/SIDA</v>
          </cell>
        </row>
        <row r="137">
          <cell r="B137" t="str">
            <v>BRN-813-G11-H</v>
          </cell>
          <cell r="C137" t="str">
            <v>Active</v>
          </cell>
          <cell r="D137" t="str">
            <v>Central Africa</v>
          </cell>
          <cell r="E137" t="str">
            <v>BDI</v>
          </cell>
          <cell r="F137" t="str">
            <v>Conseil National de Lutte contre le SIDA (CNLS), Burundi</v>
          </cell>
        </row>
        <row r="138">
          <cell r="B138" t="str">
            <v>BRN-910-G09-M</v>
          </cell>
          <cell r="C138" t="str">
            <v>Active</v>
          </cell>
          <cell r="D138" t="str">
            <v>Central Africa</v>
          </cell>
          <cell r="E138" t="str">
            <v>BDI</v>
          </cell>
          <cell r="F138" t="str">
            <v>Conseil National de Lutte contre le SIDA (CNLS), Burundi</v>
          </cell>
        </row>
        <row r="139">
          <cell r="B139" t="str">
            <v>BRN-910-G10-M</v>
          </cell>
          <cell r="C139" t="str">
            <v>Active</v>
          </cell>
          <cell r="D139" t="str">
            <v>Central Africa</v>
          </cell>
          <cell r="E139" t="str">
            <v>BDI</v>
          </cell>
          <cell r="F139" t="str">
            <v>CED-Caritas, Burundi</v>
          </cell>
        </row>
        <row r="140">
          <cell r="B140" t="str">
            <v>CAM-102-G01-H-00</v>
          </cell>
          <cell r="C140" t="str">
            <v>Administratively Closed</v>
          </cell>
          <cell r="D140" t="str">
            <v>South East Asia</v>
          </cell>
          <cell r="E140" t="str">
            <v>KHM</v>
          </cell>
          <cell r="F140" t="str">
            <v>Ministry of Health of Cambodia</v>
          </cell>
        </row>
        <row r="141">
          <cell r="B141" t="str">
            <v>CAM-202-G02-H-00</v>
          </cell>
          <cell r="C141" t="str">
            <v>Administratively Closed</v>
          </cell>
          <cell r="D141" t="str">
            <v>South East Asia</v>
          </cell>
          <cell r="E141" t="str">
            <v>KHM</v>
          </cell>
          <cell r="F141" t="str">
            <v>Ministry of Health of Cambodia</v>
          </cell>
        </row>
        <row r="142">
          <cell r="B142" t="str">
            <v>CAM-202-G03-M-00</v>
          </cell>
          <cell r="C142" t="str">
            <v>Administratively Closed</v>
          </cell>
          <cell r="D142" t="str">
            <v>South East Asia</v>
          </cell>
          <cell r="E142" t="str">
            <v>KHM</v>
          </cell>
          <cell r="F142" t="str">
            <v>Ministry of Health of Cambodia</v>
          </cell>
        </row>
        <row r="143">
          <cell r="B143" t="str">
            <v>CAM-202-G04-T-00</v>
          </cell>
          <cell r="C143" t="str">
            <v>Administratively Closed</v>
          </cell>
          <cell r="D143" t="str">
            <v>South East Asia</v>
          </cell>
          <cell r="E143" t="str">
            <v>KHM</v>
          </cell>
          <cell r="F143" t="str">
            <v>Ministry of Health of Cambodia</v>
          </cell>
        </row>
        <row r="144">
          <cell r="B144" t="str">
            <v>CAM-202-G13-M</v>
          </cell>
          <cell r="C144" t="str">
            <v>Administratively Closed</v>
          </cell>
          <cell r="D144" t="str">
            <v>South East Asia</v>
          </cell>
          <cell r="E144" t="str">
            <v>KHM</v>
          </cell>
          <cell r="F144" t="str">
            <v>National Centre for Parasitology, Entomology and Malaria Control</v>
          </cell>
        </row>
        <row r="145">
          <cell r="B145" t="str">
            <v>CAM-405-G05-H</v>
          </cell>
          <cell r="C145" t="str">
            <v>Administratively Closed</v>
          </cell>
          <cell r="D145" t="str">
            <v>South East Asia</v>
          </cell>
          <cell r="E145" t="str">
            <v>KHM</v>
          </cell>
          <cell r="F145" t="str">
            <v>Ministry of Health of Cambodia</v>
          </cell>
        </row>
        <row r="146">
          <cell r="B146" t="str">
            <v>CAM-405-G06-M</v>
          </cell>
          <cell r="C146" t="str">
            <v>Administratively Closed</v>
          </cell>
          <cell r="D146" t="str">
            <v>South East Asia</v>
          </cell>
          <cell r="E146" t="str">
            <v>KHM</v>
          </cell>
          <cell r="F146" t="str">
            <v>Ministry of Health of Cambodia</v>
          </cell>
        </row>
        <row r="147">
          <cell r="B147" t="str">
            <v>CAM-506-G07-H</v>
          </cell>
          <cell r="C147" t="str">
            <v>Administratively Closed</v>
          </cell>
          <cell r="D147" t="str">
            <v>South East Asia</v>
          </cell>
          <cell r="E147" t="str">
            <v>KHM</v>
          </cell>
          <cell r="F147" t="str">
            <v>Ministry of Health of Cambodia</v>
          </cell>
        </row>
        <row r="148">
          <cell r="B148" t="str">
            <v>CAM-506-G08-S</v>
          </cell>
          <cell r="C148" t="str">
            <v>Administratively Closed</v>
          </cell>
          <cell r="D148" t="str">
            <v>South East Asia</v>
          </cell>
          <cell r="E148" t="str">
            <v>KHM</v>
          </cell>
          <cell r="F148" t="str">
            <v>Ministry of Health of Cambodia</v>
          </cell>
        </row>
        <row r="149">
          <cell r="B149" t="str">
            <v>CAM-506-G09-T</v>
          </cell>
          <cell r="C149" t="str">
            <v>Administratively Closed</v>
          </cell>
          <cell r="D149" t="str">
            <v>South East Asia</v>
          </cell>
          <cell r="E149" t="str">
            <v>KHM</v>
          </cell>
          <cell r="F149" t="str">
            <v>Ministry of Health of Cambodia</v>
          </cell>
        </row>
        <row r="150">
          <cell r="B150" t="str">
            <v>CAM-607-G10-M</v>
          </cell>
          <cell r="C150" t="str">
            <v>Financial Closure</v>
          </cell>
          <cell r="D150" t="str">
            <v>South East Asia</v>
          </cell>
          <cell r="E150" t="str">
            <v>KHM</v>
          </cell>
          <cell r="F150" t="str">
            <v>Ministry of Health of Cambodia</v>
          </cell>
        </row>
        <row r="151">
          <cell r="B151" t="str">
            <v>CAM-708-G11-H</v>
          </cell>
          <cell r="C151" t="str">
            <v>Administratively Closed</v>
          </cell>
          <cell r="D151" t="str">
            <v>South East Asia</v>
          </cell>
          <cell r="E151" t="str">
            <v>KHM</v>
          </cell>
          <cell r="F151" t="str">
            <v>National Center for HIV/AIDS, Dermatology and STI</v>
          </cell>
        </row>
        <row r="152">
          <cell r="B152" t="str">
            <v>CAM-708-G12-T</v>
          </cell>
          <cell r="C152" t="str">
            <v>Active</v>
          </cell>
          <cell r="D152" t="str">
            <v>South East Asia</v>
          </cell>
          <cell r="E152" t="str">
            <v>KHM</v>
          </cell>
          <cell r="F152" t="str">
            <v>National Center for Tuberculosis and Leprosy Control</v>
          </cell>
        </row>
        <row r="153">
          <cell r="B153" t="str">
            <v>CAM-H-NCHADS</v>
          </cell>
          <cell r="C153" t="str">
            <v>Active</v>
          </cell>
          <cell r="D153" t="str">
            <v>South East Asia</v>
          </cell>
          <cell r="E153" t="str">
            <v>KHM</v>
          </cell>
          <cell r="F153" t="str">
            <v>National Center for HIV/AIDS, Dermatology and STI</v>
          </cell>
        </row>
        <row r="154">
          <cell r="B154" t="str">
            <v>CAM-M-CNM</v>
          </cell>
          <cell r="C154" t="str">
            <v>Financial Closure</v>
          </cell>
          <cell r="D154" t="str">
            <v>South East Asia</v>
          </cell>
          <cell r="E154" t="str">
            <v>KHM</v>
          </cell>
          <cell r="F154" t="str">
            <v>National Centre for Parasitology, Entomology and Malaria Control</v>
          </cell>
        </row>
        <row r="155">
          <cell r="B155" t="str">
            <v>CAM-M-UNOPS</v>
          </cell>
          <cell r="C155" t="str">
            <v>Active</v>
          </cell>
          <cell r="D155" t="str">
            <v>South East Asia</v>
          </cell>
          <cell r="E155" t="str">
            <v>KHM</v>
          </cell>
          <cell r="F155" t="str">
            <v>United Nations Office for Project Services, Denmark</v>
          </cell>
        </row>
        <row r="156">
          <cell r="B156" t="str">
            <v>CAM-S-PRMOH</v>
          </cell>
          <cell r="C156" t="str">
            <v>Active</v>
          </cell>
          <cell r="D156" t="str">
            <v>South East Asia</v>
          </cell>
          <cell r="E156" t="str">
            <v>KHM</v>
          </cell>
          <cell r="F156" t="str">
            <v>Ministry of Health of Cambodia</v>
          </cell>
        </row>
        <row r="157">
          <cell r="B157" t="str">
            <v>KHM-T-CENAT</v>
          </cell>
          <cell r="C157" t="str">
            <v>Active</v>
          </cell>
          <cell r="D157" t="str">
            <v>South East Asia</v>
          </cell>
          <cell r="E157" t="str">
            <v>KHM</v>
          </cell>
          <cell r="F157" t="str">
            <v>National Center for Tuberculosis and Leprosy Control</v>
          </cell>
        </row>
        <row r="158">
          <cell r="B158" t="str">
            <v>CMR-011-G10-H</v>
          </cell>
          <cell r="C158" t="str">
            <v>Active</v>
          </cell>
          <cell r="D158" t="str">
            <v>Western Africa</v>
          </cell>
          <cell r="E158" t="str">
            <v>CMR</v>
          </cell>
          <cell r="F158" t="str">
            <v>Cameroon National Association for Family Welfare</v>
          </cell>
        </row>
        <row r="159">
          <cell r="B159" t="str">
            <v>CMR-011-G11-H</v>
          </cell>
          <cell r="C159" t="str">
            <v>Active</v>
          </cell>
          <cell r="D159" t="str">
            <v>Western Africa</v>
          </cell>
          <cell r="E159" t="str">
            <v>CMR</v>
          </cell>
          <cell r="F159" t="str">
            <v>National AIDS Control Program, Ministry of Public Health of Cameroon</v>
          </cell>
        </row>
        <row r="160">
          <cell r="B160" t="str">
            <v>CMR-304-G01-H</v>
          </cell>
          <cell r="C160" t="str">
            <v>Administratively Closed</v>
          </cell>
          <cell r="D160" t="str">
            <v>Western Africa</v>
          </cell>
          <cell r="E160" t="str">
            <v>CMR</v>
          </cell>
          <cell r="F160" t="str">
            <v>Ministry of Public Health of Cameroon</v>
          </cell>
        </row>
        <row r="161">
          <cell r="B161" t="str">
            <v>CMR-304-G02-M</v>
          </cell>
          <cell r="C161" t="str">
            <v>Administratively Closed</v>
          </cell>
          <cell r="D161" t="str">
            <v>Western Africa</v>
          </cell>
          <cell r="E161" t="str">
            <v>CMR</v>
          </cell>
          <cell r="F161" t="str">
            <v>National Malaria Control Program, Ministry of Public Health of Cameroon</v>
          </cell>
        </row>
        <row r="162">
          <cell r="B162" t="str">
            <v>CMR-304-G03-T</v>
          </cell>
          <cell r="C162" t="str">
            <v>Administratively Closed</v>
          </cell>
          <cell r="D162" t="str">
            <v>Western Africa</v>
          </cell>
          <cell r="E162" t="str">
            <v>CMR</v>
          </cell>
          <cell r="F162" t="str">
            <v>Ministry of Public Health of Cameroon</v>
          </cell>
        </row>
        <row r="163">
          <cell r="B163" t="str">
            <v>CMR-404-G04-H</v>
          </cell>
          <cell r="C163" t="str">
            <v>Administratively Closed</v>
          </cell>
          <cell r="D163" t="str">
            <v>Western Africa</v>
          </cell>
          <cell r="E163" t="str">
            <v>CMR</v>
          </cell>
          <cell r="F163" t="str">
            <v>CARE International in Cameroon</v>
          </cell>
        </row>
        <row r="164">
          <cell r="B164" t="str">
            <v>CMR-506-G05-H</v>
          </cell>
          <cell r="C164" t="str">
            <v>Administratively Closed</v>
          </cell>
          <cell r="D164" t="str">
            <v>Western Africa</v>
          </cell>
          <cell r="E164" t="str">
            <v>CMR</v>
          </cell>
          <cell r="F164" t="str">
            <v>National AIDS Control Program, Ministry of Public Health of Cameroon</v>
          </cell>
        </row>
        <row r="165">
          <cell r="B165" t="str">
            <v>CMR-506-G06-M</v>
          </cell>
          <cell r="C165" t="str">
            <v>Administratively Closed</v>
          </cell>
          <cell r="D165" t="str">
            <v>Western Africa</v>
          </cell>
          <cell r="E165" t="str">
            <v>CMR</v>
          </cell>
          <cell r="F165" t="str">
            <v>National Malaria Control Program, Ministry of Public Health of Cameroon</v>
          </cell>
        </row>
        <row r="166">
          <cell r="B166" t="str">
            <v>CMR-910-G07-M</v>
          </cell>
          <cell r="C166" t="str">
            <v>Active</v>
          </cell>
          <cell r="D166" t="str">
            <v>Western Africa</v>
          </cell>
          <cell r="E166" t="str">
            <v>CMR</v>
          </cell>
          <cell r="F166" t="str">
            <v>National Malaria Control Program, Ministry of Public Health of Cameroon</v>
          </cell>
        </row>
        <row r="167">
          <cell r="B167" t="str">
            <v>CMR-910-G08-M</v>
          </cell>
          <cell r="C167" t="str">
            <v>Active</v>
          </cell>
          <cell r="D167" t="str">
            <v>Western Africa</v>
          </cell>
          <cell r="E167" t="str">
            <v>CMR</v>
          </cell>
          <cell r="F167" t="str">
            <v>Plan International Cameroon</v>
          </cell>
        </row>
        <row r="168">
          <cell r="B168" t="str">
            <v>CMR-910-G09-T</v>
          </cell>
          <cell r="C168" t="str">
            <v>Active</v>
          </cell>
          <cell r="D168" t="str">
            <v>Western Africa</v>
          </cell>
          <cell r="E168" t="str">
            <v>CMR</v>
          </cell>
          <cell r="F168" t="str">
            <v>National Tuberculosis Control Program, Ministry of Public Health of Cameroon</v>
          </cell>
        </row>
        <row r="169">
          <cell r="B169" t="str">
            <v>CMR-M-MOH</v>
          </cell>
          <cell r="C169" t="str">
            <v>Active</v>
          </cell>
          <cell r="D169" t="str">
            <v>Western Africa</v>
          </cell>
          <cell r="E169" t="str">
            <v>CMR</v>
          </cell>
          <cell r="F169" t="str">
            <v>National Malaria Control Program, Ministry of Public Health of Cameroon</v>
          </cell>
        </row>
        <row r="170">
          <cell r="B170" t="str">
            <v>CPV-011-G03-M</v>
          </cell>
          <cell r="C170" t="str">
            <v>Active</v>
          </cell>
          <cell r="D170" t="str">
            <v>Western Africa</v>
          </cell>
          <cell r="E170" t="str">
            <v>CPV</v>
          </cell>
          <cell r="F170" t="str">
            <v>Coordination Committee to Fight AIDS of Cape Verde</v>
          </cell>
        </row>
        <row r="171">
          <cell r="B171" t="str">
            <v>CPV-810-G01-H</v>
          </cell>
          <cell r="C171" t="str">
            <v>Active</v>
          </cell>
          <cell r="D171" t="str">
            <v>Western Africa</v>
          </cell>
          <cell r="E171" t="str">
            <v>CPV</v>
          </cell>
          <cell r="F171" t="str">
            <v>Coordination Committee to Fight AIDS of Cape Verde</v>
          </cell>
        </row>
        <row r="172">
          <cell r="B172" t="str">
            <v>CPV-810-G02-H</v>
          </cell>
          <cell r="C172" t="str">
            <v>Active</v>
          </cell>
          <cell r="D172" t="str">
            <v>Western Africa</v>
          </cell>
          <cell r="E172" t="str">
            <v>CPV</v>
          </cell>
          <cell r="F172" t="str">
            <v>Cape Verde Non Governmental Organisations Platform</v>
          </cell>
        </row>
        <row r="173">
          <cell r="B173" t="str">
            <v>CAF-202-G01-H-00</v>
          </cell>
          <cell r="C173" t="str">
            <v>Financial Closure</v>
          </cell>
          <cell r="D173" t="str">
            <v>Central Africa</v>
          </cell>
          <cell r="E173" t="str">
            <v>CAF</v>
          </cell>
          <cell r="F173" t="str">
            <v>United Nations Development Programme, Central African Republic</v>
          </cell>
        </row>
        <row r="174">
          <cell r="B174" t="str">
            <v>CAF-404-G02-H</v>
          </cell>
          <cell r="C174" t="str">
            <v>Financial Closure</v>
          </cell>
          <cell r="D174" t="str">
            <v>Central Africa</v>
          </cell>
          <cell r="E174" t="str">
            <v>CAF</v>
          </cell>
          <cell r="F174" t="str">
            <v>United Nations Development Programme, Central African Republic</v>
          </cell>
        </row>
        <row r="175">
          <cell r="B175" t="str">
            <v>CAF-404-G03-T</v>
          </cell>
          <cell r="C175" t="str">
            <v>Financial Closure</v>
          </cell>
          <cell r="D175" t="str">
            <v>Central Africa</v>
          </cell>
          <cell r="E175" t="str">
            <v>CAF</v>
          </cell>
          <cell r="F175" t="str">
            <v>United Nations Development Programme, Central African Republic</v>
          </cell>
        </row>
        <row r="176">
          <cell r="B176" t="str">
            <v>CAF-405-G04-M</v>
          </cell>
          <cell r="C176" t="str">
            <v>Financial Closure</v>
          </cell>
          <cell r="D176" t="str">
            <v>Central Africa</v>
          </cell>
          <cell r="E176" t="str">
            <v>CAF</v>
          </cell>
          <cell r="F176" t="str">
            <v>United Nations Development Programme, Central African Republic</v>
          </cell>
        </row>
        <row r="177">
          <cell r="B177" t="str">
            <v>CAF-409-G06-H</v>
          </cell>
          <cell r="C177" t="str">
            <v>Financially Closed</v>
          </cell>
          <cell r="D177" t="str">
            <v>Central Africa</v>
          </cell>
          <cell r="E177" t="str">
            <v>CAF</v>
          </cell>
          <cell r="F177" t="str">
            <v>Comité National de Lutte contre le VIH/SIDA, CAF</v>
          </cell>
        </row>
        <row r="178">
          <cell r="B178" t="str">
            <v>CAF-409-G07-T</v>
          </cell>
          <cell r="C178" t="str">
            <v>Financial Closure</v>
          </cell>
          <cell r="D178" t="str">
            <v>Central Africa</v>
          </cell>
          <cell r="E178" t="str">
            <v>CAF</v>
          </cell>
          <cell r="F178" t="str">
            <v>Comité National de Lutte contre le VIH/SIDA, CAF</v>
          </cell>
        </row>
        <row r="179">
          <cell r="B179" t="str">
            <v>CAF-708-G05-H</v>
          </cell>
          <cell r="C179" t="str">
            <v>Financial Closure</v>
          </cell>
          <cell r="D179" t="str">
            <v>Central Africa</v>
          </cell>
          <cell r="E179" t="str">
            <v>CAF</v>
          </cell>
          <cell r="F179" t="str">
            <v>Comité National de Lutte contre le VIH/SIDA, CAF</v>
          </cell>
        </row>
        <row r="180">
          <cell r="B180" t="str">
            <v>CAF-810-G08-M</v>
          </cell>
          <cell r="C180" t="str">
            <v>Financial Closure</v>
          </cell>
          <cell r="D180" t="str">
            <v>Central Africa</v>
          </cell>
          <cell r="E180" t="str">
            <v>CAF</v>
          </cell>
          <cell r="F180" t="str">
            <v>Comité National de Lutte contre le VIH/SIDA, CAF</v>
          </cell>
        </row>
        <row r="181">
          <cell r="B181" t="str">
            <v>CAF-813-G10-M</v>
          </cell>
          <cell r="C181" t="str">
            <v>Active</v>
          </cell>
          <cell r="D181" t="str">
            <v>Central Africa</v>
          </cell>
          <cell r="E181" t="str">
            <v>CAF</v>
          </cell>
          <cell r="F181" t="str">
            <v>International Federation of Red Cross and Red Crescent Societies</v>
          </cell>
        </row>
        <row r="182">
          <cell r="B182" t="str">
            <v>CAF-911-G09-T</v>
          </cell>
          <cell r="C182" t="str">
            <v>Financial Closure</v>
          </cell>
          <cell r="D182" t="str">
            <v>Central Africa</v>
          </cell>
          <cell r="E182" t="str">
            <v>CAF</v>
          </cell>
          <cell r="F182" t="str">
            <v>Ministry of Public Health, Population and Fight against HIV/AIDS</v>
          </cell>
        </row>
        <row r="183">
          <cell r="B183" t="str">
            <v>CAF-C-IFRC</v>
          </cell>
          <cell r="C183" t="str">
            <v>Active</v>
          </cell>
          <cell r="D183" t="str">
            <v>Central Africa</v>
          </cell>
          <cell r="E183" t="str">
            <v>CAF</v>
          </cell>
          <cell r="F183" t="str">
            <v>International Federation of Red Cross and Red Crescent Societies</v>
          </cell>
        </row>
        <row r="184">
          <cell r="B184" t="str">
            <v>TCD-202-G01-T-00</v>
          </cell>
          <cell r="C184" t="str">
            <v>Administratively Closed</v>
          </cell>
          <cell r="D184" t="str">
            <v>Western Africa</v>
          </cell>
          <cell r="E184" t="str">
            <v>TCD</v>
          </cell>
          <cell r="F184" t="str">
            <v>Fonds de Soutien aux Activités en matière de Population</v>
          </cell>
        </row>
        <row r="185">
          <cell r="B185" t="str">
            <v>TCD-304-G02-H</v>
          </cell>
          <cell r="C185" t="str">
            <v>Administratively Closed</v>
          </cell>
          <cell r="D185" t="str">
            <v>Western Africa</v>
          </cell>
          <cell r="E185" t="str">
            <v>TCD</v>
          </cell>
          <cell r="F185" t="str">
            <v>Fonds de Soutien aux Activités en matière de Population</v>
          </cell>
        </row>
        <row r="186">
          <cell r="B186" t="str">
            <v>TCD-708-G03-M</v>
          </cell>
          <cell r="C186" t="str">
            <v>Administratively Closed</v>
          </cell>
          <cell r="D186" t="str">
            <v>Western Africa</v>
          </cell>
          <cell r="E186" t="str">
            <v>TCD</v>
          </cell>
          <cell r="F186" t="str">
            <v>United Nations Development Programme, Chad</v>
          </cell>
        </row>
        <row r="187">
          <cell r="B187" t="str">
            <v>TCD-810-G04-H</v>
          </cell>
          <cell r="C187" t="str">
            <v>Financial Closure</v>
          </cell>
          <cell r="D187" t="str">
            <v>Western Africa</v>
          </cell>
          <cell r="E187" t="str">
            <v>TCD</v>
          </cell>
          <cell r="F187" t="str">
            <v>Association of Social Marketing in Chad (AMASOT)</v>
          </cell>
        </row>
        <row r="188">
          <cell r="B188" t="str">
            <v>TCD-810-G05-H</v>
          </cell>
          <cell r="C188" t="str">
            <v>Active</v>
          </cell>
          <cell r="D188" t="str">
            <v>Western Africa</v>
          </cell>
          <cell r="E188" t="str">
            <v>TCD</v>
          </cell>
          <cell r="F188" t="str">
            <v>Fonds de Soutien aux Activités en matière de Population</v>
          </cell>
        </row>
        <row r="189">
          <cell r="B189" t="str">
            <v>TCD-810-G06-H</v>
          </cell>
          <cell r="C189" t="str">
            <v>Financial Closure</v>
          </cell>
          <cell r="D189" t="str">
            <v>Western Africa</v>
          </cell>
          <cell r="E189" t="str">
            <v>TCD</v>
          </cell>
          <cell r="F189" t="str">
            <v>National Union of Diocesan Associations</v>
          </cell>
        </row>
        <row r="190">
          <cell r="B190" t="str">
            <v>TCD-810-G07-T</v>
          </cell>
          <cell r="C190" t="str">
            <v>Active</v>
          </cell>
          <cell r="D190" t="str">
            <v>Western Africa</v>
          </cell>
          <cell r="E190" t="str">
            <v>TCD</v>
          </cell>
          <cell r="F190" t="str">
            <v>Fonds de Soutien aux Activités en matière de Population</v>
          </cell>
        </row>
        <row r="191">
          <cell r="B191" t="str">
            <v>TCD-910-G08-M</v>
          </cell>
          <cell r="C191" t="str">
            <v>Administratively Closed</v>
          </cell>
          <cell r="D191" t="str">
            <v>Western Africa</v>
          </cell>
          <cell r="E191" t="str">
            <v>TCD</v>
          </cell>
          <cell r="F191" t="str">
            <v>United Nations Development Programme, Chad</v>
          </cell>
        </row>
        <row r="192">
          <cell r="B192" t="str">
            <v>TCD-M-UNDP</v>
          </cell>
          <cell r="C192" t="str">
            <v>Active</v>
          </cell>
          <cell r="D192" t="str">
            <v>Western Africa</v>
          </cell>
          <cell r="E192" t="str">
            <v>TCD</v>
          </cell>
          <cell r="F192" t="str">
            <v>United Nations Development Programme, Chad</v>
          </cell>
        </row>
        <row r="193">
          <cell r="B193" t="str">
            <v>TCD-T13-G09-M</v>
          </cell>
          <cell r="C193" t="str">
            <v>Active</v>
          </cell>
          <cell r="D193" t="str">
            <v>Western Africa</v>
          </cell>
          <cell r="E193" t="str">
            <v>TCD</v>
          </cell>
          <cell r="F193" t="str">
            <v>Fonds de Soutien aux Activités en matière de Population</v>
          </cell>
        </row>
        <row r="194">
          <cell r="B194" t="str">
            <v>CHL-102-G01-H-00</v>
          </cell>
          <cell r="C194" t="str">
            <v>Administratively Closed</v>
          </cell>
          <cell r="D194" t="str">
            <v>Latin America and Caribbean</v>
          </cell>
          <cell r="E194" t="str">
            <v>CHL</v>
          </cell>
          <cell r="F194" t="str">
            <v>Consejo de las Américas</v>
          </cell>
        </row>
        <row r="195">
          <cell r="B195" t="str">
            <v>CHN-011-G15-M</v>
          </cell>
          <cell r="C195" t="str">
            <v>Financial Closure</v>
          </cell>
          <cell r="D195" t="str">
            <v>High Impact Asia</v>
          </cell>
          <cell r="E195" t="str">
            <v>CHN</v>
          </cell>
          <cell r="F195" t="str">
            <v>Chinese Centre for Disease Control and Prevention</v>
          </cell>
        </row>
        <row r="196">
          <cell r="B196" t="str">
            <v>CHN-102-G01-T-00</v>
          </cell>
          <cell r="C196" t="str">
            <v>Administratively Closed</v>
          </cell>
          <cell r="D196" t="str">
            <v>High Impact Asia</v>
          </cell>
          <cell r="E196" t="str">
            <v>CHN</v>
          </cell>
          <cell r="F196" t="str">
            <v>Chinese Centre for Disease Control and Prevention</v>
          </cell>
        </row>
        <row r="197">
          <cell r="B197" t="str">
            <v>CHN-102-G02-M-00</v>
          </cell>
          <cell r="C197" t="str">
            <v>Administratively Closed</v>
          </cell>
          <cell r="D197" t="str">
            <v>High Impact Asia</v>
          </cell>
          <cell r="E197" t="str">
            <v>CHN</v>
          </cell>
          <cell r="F197" t="str">
            <v>Chinese Centre for Disease Control and Prevention</v>
          </cell>
        </row>
        <row r="198">
          <cell r="B198" t="str">
            <v>CHN-304-G03-H</v>
          </cell>
          <cell r="C198" t="str">
            <v>Financial Closure</v>
          </cell>
          <cell r="D198" t="str">
            <v>High Impact Asia</v>
          </cell>
          <cell r="E198" t="str">
            <v>CHN</v>
          </cell>
          <cell r="F198" t="str">
            <v>Chinese Centre for Disease Control and Prevention</v>
          </cell>
        </row>
        <row r="199">
          <cell r="B199" t="str">
            <v>CHN-405-G04-T</v>
          </cell>
          <cell r="C199" t="str">
            <v>Administratively Closed</v>
          </cell>
          <cell r="D199" t="str">
            <v>High Impact Asia</v>
          </cell>
          <cell r="E199" t="str">
            <v>CHN</v>
          </cell>
          <cell r="F199" t="str">
            <v>Chinese Centre for Disease Control and Prevention</v>
          </cell>
        </row>
        <row r="200">
          <cell r="B200" t="str">
            <v>CHN-405-G05-H</v>
          </cell>
          <cell r="C200" t="str">
            <v>Administratively Closed</v>
          </cell>
          <cell r="D200" t="str">
            <v>High Impact Asia</v>
          </cell>
          <cell r="E200" t="str">
            <v>CHN</v>
          </cell>
          <cell r="F200" t="str">
            <v>Chinese Centre for Disease Control and Prevention</v>
          </cell>
        </row>
        <row r="201">
          <cell r="B201" t="str">
            <v>CHN-506-G06-H</v>
          </cell>
          <cell r="C201" t="str">
            <v>Administratively Closed</v>
          </cell>
          <cell r="D201" t="str">
            <v>High Impact Asia</v>
          </cell>
          <cell r="E201" t="str">
            <v>CHN</v>
          </cell>
          <cell r="F201" t="str">
            <v>Chinese Centre for Disease Control and Prevention</v>
          </cell>
        </row>
        <row r="202">
          <cell r="B202" t="str">
            <v>CHN-506-G07-M</v>
          </cell>
          <cell r="C202" t="str">
            <v>Administratively Closed</v>
          </cell>
          <cell r="D202" t="str">
            <v>High Impact Asia</v>
          </cell>
          <cell r="E202" t="str">
            <v>CHN</v>
          </cell>
          <cell r="F202" t="str">
            <v>Chinese Centre for Disease Control and Prevention</v>
          </cell>
        </row>
        <row r="203">
          <cell r="B203" t="str">
            <v>CHN-506-G08-T</v>
          </cell>
          <cell r="C203" t="str">
            <v>Administratively Closed</v>
          </cell>
          <cell r="D203" t="str">
            <v>High Impact Asia</v>
          </cell>
          <cell r="E203" t="str">
            <v>CHN</v>
          </cell>
          <cell r="F203" t="str">
            <v>Chinese Centre for Disease Control and Prevention</v>
          </cell>
        </row>
        <row r="204">
          <cell r="B204" t="str">
            <v>CHN-607-G09-M</v>
          </cell>
          <cell r="C204" t="str">
            <v>Financially Closed</v>
          </cell>
          <cell r="D204" t="str">
            <v>High Impact Asia</v>
          </cell>
          <cell r="E204" t="str">
            <v>CHN</v>
          </cell>
          <cell r="F204" t="str">
            <v>Chinese Centre for Disease Control and Prevention</v>
          </cell>
        </row>
        <row r="205">
          <cell r="B205" t="str">
            <v>CHN-607-G10-H</v>
          </cell>
          <cell r="C205" t="str">
            <v>Administratively Closed</v>
          </cell>
          <cell r="D205" t="str">
            <v>High Impact Asia</v>
          </cell>
          <cell r="E205" t="str">
            <v>CHN</v>
          </cell>
          <cell r="F205" t="str">
            <v>Chinese Centre for Disease Control and Prevention</v>
          </cell>
        </row>
        <row r="206">
          <cell r="B206" t="str">
            <v>CHN-708-G11-T</v>
          </cell>
          <cell r="C206" t="str">
            <v>Administratively Closed</v>
          </cell>
          <cell r="D206" t="str">
            <v>High Impact Asia</v>
          </cell>
          <cell r="E206" t="str">
            <v>CHN</v>
          </cell>
          <cell r="F206" t="str">
            <v>Chinese Centre for Disease Control and Prevention</v>
          </cell>
        </row>
        <row r="207">
          <cell r="B207" t="str">
            <v>CHN-809-G12-T</v>
          </cell>
          <cell r="C207" t="str">
            <v>Administratively Closed</v>
          </cell>
          <cell r="D207" t="str">
            <v>High Impact Asia</v>
          </cell>
          <cell r="E207" t="str">
            <v>CHN</v>
          </cell>
          <cell r="F207" t="str">
            <v>Chinese Centre for Disease Control and Prevention</v>
          </cell>
        </row>
        <row r="208">
          <cell r="B208" t="str">
            <v>CHN-S10-G13-M</v>
          </cell>
          <cell r="C208" t="str">
            <v>Financially Closed</v>
          </cell>
          <cell r="D208" t="str">
            <v>High Impact Asia</v>
          </cell>
          <cell r="E208" t="str">
            <v>CHN</v>
          </cell>
          <cell r="F208" t="str">
            <v>Chinese Centre for Disease Control and Prevention</v>
          </cell>
        </row>
        <row r="209">
          <cell r="B209" t="str">
            <v>CHN-S10-G14-T</v>
          </cell>
          <cell r="C209" t="str">
            <v>Financial Closure</v>
          </cell>
          <cell r="D209" t="str">
            <v>High Impact Asia</v>
          </cell>
          <cell r="E209" t="str">
            <v>CHN</v>
          </cell>
          <cell r="F209" t="str">
            <v>Chinese Centre for Disease Control and Prevention</v>
          </cell>
        </row>
        <row r="210">
          <cell r="B210" t="str">
            <v>COL-011-G05-T</v>
          </cell>
          <cell r="C210" t="str">
            <v>Active</v>
          </cell>
          <cell r="D210" t="str">
            <v>Latin America and Caribbean</v>
          </cell>
          <cell r="E210" t="str">
            <v>COL</v>
          </cell>
          <cell r="F210" t="str">
            <v>Fondo Financiero de Proyectos de Desarrollo FONADE</v>
          </cell>
        </row>
        <row r="211">
          <cell r="B211" t="str">
            <v>COL-011-G06-T</v>
          </cell>
          <cell r="C211" t="str">
            <v>Active</v>
          </cell>
          <cell r="D211" t="str">
            <v>Latin America and Caribbean</v>
          </cell>
          <cell r="E211" t="str">
            <v>COL</v>
          </cell>
          <cell r="F211" t="str">
            <v>International Organization for Migration, Colombia</v>
          </cell>
        </row>
        <row r="212">
          <cell r="B212" t="str">
            <v>COL-202-G01-H-00</v>
          </cell>
          <cell r="C212" t="str">
            <v>Administratively Closed</v>
          </cell>
          <cell r="D212" t="str">
            <v>Latin America and Caribbean</v>
          </cell>
          <cell r="E212" t="str">
            <v>COL</v>
          </cell>
          <cell r="F212" t="str">
            <v>International Organization for Migration, Colombia</v>
          </cell>
        </row>
        <row r="213">
          <cell r="B213" t="str">
            <v>COL-809-G02-M</v>
          </cell>
          <cell r="C213" t="str">
            <v>Active</v>
          </cell>
          <cell r="D213" t="str">
            <v>Latin America and Caribbean</v>
          </cell>
          <cell r="E213" t="str">
            <v>COL</v>
          </cell>
          <cell r="F213" t="str">
            <v>Fundación Universidad Antioquia</v>
          </cell>
        </row>
        <row r="214">
          <cell r="B214" t="str">
            <v>COL-809-G03-M</v>
          </cell>
          <cell r="C214" t="str">
            <v>Active</v>
          </cell>
          <cell r="D214" t="str">
            <v>Latin America and Caribbean</v>
          </cell>
          <cell r="E214" t="str">
            <v>COL</v>
          </cell>
          <cell r="F214" t="str">
            <v>Fondo Financiero de Proyectos de Desarrollo FONADE</v>
          </cell>
        </row>
        <row r="215">
          <cell r="B215" t="str">
            <v>COL-911-G04-H</v>
          </cell>
          <cell r="C215" t="str">
            <v>Active</v>
          </cell>
          <cell r="D215" t="str">
            <v>Latin America and Caribbean</v>
          </cell>
          <cell r="E215" t="str">
            <v>COL</v>
          </cell>
          <cell r="F215" t="str">
            <v>Cooperative Housing Foundation International, USA</v>
          </cell>
        </row>
        <row r="216">
          <cell r="B216" t="str">
            <v>COM-202-G01-M-00</v>
          </cell>
          <cell r="C216" t="str">
            <v>Administratively Closed</v>
          </cell>
          <cell r="D216" t="str">
            <v>Southern and Eastern Africa</v>
          </cell>
          <cell r="E216" t="str">
            <v>COM</v>
          </cell>
          <cell r="F216" t="str">
            <v>Association Comorienne pour le Bien-Etre de la Famille (ASCOBEF)</v>
          </cell>
        </row>
        <row r="217">
          <cell r="B217" t="str">
            <v>COM-304-G02-H</v>
          </cell>
          <cell r="C217" t="str">
            <v>Administratively Closed</v>
          </cell>
          <cell r="D217" t="str">
            <v>Southern and Eastern Africa</v>
          </cell>
          <cell r="E217" t="str">
            <v>COM</v>
          </cell>
          <cell r="F217" t="str">
            <v>Association Comorienne pour le Bien-Etre de la Famille (ASCOBEF)</v>
          </cell>
        </row>
        <row r="218">
          <cell r="B218" t="str">
            <v>COM-810-G03-M</v>
          </cell>
          <cell r="C218" t="str">
            <v>Active</v>
          </cell>
          <cell r="D218" t="str">
            <v>Southern and Eastern Africa</v>
          </cell>
          <cell r="E218" t="str">
            <v>COM</v>
          </cell>
          <cell r="F218" t="str">
            <v>Association Comorienne pour le Bien-Etre de la Famille (ASCOBEF)</v>
          </cell>
        </row>
        <row r="219">
          <cell r="B219" t="str">
            <v>COM-910-G04-H</v>
          </cell>
          <cell r="C219" t="str">
            <v>Active</v>
          </cell>
          <cell r="D219" t="str">
            <v>Southern and Eastern Africa</v>
          </cell>
          <cell r="E219" t="str">
            <v>COM</v>
          </cell>
          <cell r="F219" t="str">
            <v>Ministry of Health of Comoros</v>
          </cell>
        </row>
        <row r="220">
          <cell r="B220" t="str">
            <v>COG-506-G01-H</v>
          </cell>
          <cell r="C220" t="str">
            <v>Financial Closure</v>
          </cell>
          <cell r="D220" t="str">
            <v>Central Africa</v>
          </cell>
          <cell r="E220" t="str">
            <v>COG</v>
          </cell>
          <cell r="F220" t="str">
            <v>Conseil National de Lutte Contre le Sida, Congo</v>
          </cell>
        </row>
        <row r="221">
          <cell r="B221" t="str">
            <v>COG-810-G02-T</v>
          </cell>
          <cell r="C221" t="str">
            <v>Active</v>
          </cell>
          <cell r="D221" t="str">
            <v>Central Africa</v>
          </cell>
          <cell r="E221" t="str">
            <v>COG</v>
          </cell>
          <cell r="F221" t="str">
            <v>Ministry of Health of Republic of Congo</v>
          </cell>
        </row>
        <row r="222">
          <cell r="B222" t="str">
            <v>COG-810-G03-M</v>
          </cell>
          <cell r="C222" t="str">
            <v>Financial Closure</v>
          </cell>
          <cell r="D222" t="str">
            <v>Central Africa</v>
          </cell>
          <cell r="E222" t="str">
            <v>COG</v>
          </cell>
          <cell r="F222" t="str">
            <v>Ministry of Health of Republic of Congo</v>
          </cell>
        </row>
        <row r="223">
          <cell r="B223" t="str">
            <v>COG-810-G04-M</v>
          </cell>
          <cell r="C223" t="str">
            <v>Financial Closure</v>
          </cell>
          <cell r="D223" t="str">
            <v>Central Africa</v>
          </cell>
          <cell r="E223" t="str">
            <v>COG</v>
          </cell>
          <cell r="F223" t="str">
            <v>Medecins d'Afrique</v>
          </cell>
        </row>
        <row r="224">
          <cell r="B224" t="str">
            <v>COG-911-G05-H</v>
          </cell>
          <cell r="C224" t="str">
            <v>Active</v>
          </cell>
          <cell r="D224" t="str">
            <v>Central Africa</v>
          </cell>
          <cell r="E224" t="str">
            <v>COG</v>
          </cell>
          <cell r="F224" t="str">
            <v>French Red Cross</v>
          </cell>
        </row>
        <row r="225">
          <cell r="B225" t="str">
            <v>COG-911-G06-H</v>
          </cell>
          <cell r="C225" t="str">
            <v>Active</v>
          </cell>
          <cell r="D225" t="str">
            <v>Central Africa</v>
          </cell>
          <cell r="E225" t="str">
            <v>COG</v>
          </cell>
          <cell r="F225" t="str">
            <v>Conseil National de Lutte Contre le Sida, Congo</v>
          </cell>
        </row>
        <row r="226">
          <cell r="B226" t="str">
            <v>COD-M-MOH</v>
          </cell>
          <cell r="C226" t="str">
            <v>Active</v>
          </cell>
          <cell r="D226" t="str">
            <v>High Impact Africa 1</v>
          </cell>
          <cell r="E226" t="str">
            <v>COD</v>
          </cell>
          <cell r="F226" t="str">
            <v>Ministry of Health of Congo Democratic Republic</v>
          </cell>
        </row>
        <row r="227">
          <cell r="B227" t="str">
            <v>COD-M-PSI</v>
          </cell>
          <cell r="C227" t="str">
            <v>Active</v>
          </cell>
          <cell r="D227" t="str">
            <v>High Impact Africa 1</v>
          </cell>
          <cell r="E227" t="str">
            <v>COD</v>
          </cell>
          <cell r="F227" t="str">
            <v>Population Services International, USA</v>
          </cell>
        </row>
        <row r="228">
          <cell r="B228" t="str">
            <v>COD-M-SANRU</v>
          </cell>
          <cell r="C228" t="str">
            <v>Active</v>
          </cell>
          <cell r="D228" t="str">
            <v>High Impact Africa 1</v>
          </cell>
          <cell r="E228" t="str">
            <v>COD</v>
          </cell>
          <cell r="F228" t="str">
            <v>Eglise du Christ au Congo / Santé Rurale</v>
          </cell>
        </row>
        <row r="229">
          <cell r="B229" t="str">
            <v>ZAR-202-G01-T-00</v>
          </cell>
          <cell r="C229" t="str">
            <v>Financial Closure</v>
          </cell>
          <cell r="D229" t="str">
            <v>High Impact Africa 1</v>
          </cell>
          <cell r="E229" t="str">
            <v>COD</v>
          </cell>
          <cell r="F229" t="str">
            <v>United Nations Development Programme, Democratic Republic of Congo</v>
          </cell>
        </row>
        <row r="230">
          <cell r="B230" t="str">
            <v>ZAR-304-G02-H</v>
          </cell>
          <cell r="C230" t="str">
            <v>Financial Closure</v>
          </cell>
          <cell r="D230" t="str">
            <v>High Impact Africa 1</v>
          </cell>
          <cell r="E230" t="str">
            <v>COD</v>
          </cell>
          <cell r="F230" t="str">
            <v>United Nations Development Programme, Democratic Republic of Congo</v>
          </cell>
        </row>
        <row r="231">
          <cell r="B231" t="str">
            <v>ZAR-304-G03-M</v>
          </cell>
          <cell r="C231" t="str">
            <v>Financial Closure</v>
          </cell>
          <cell r="D231" t="str">
            <v>High Impact Africa 1</v>
          </cell>
          <cell r="E231" t="str">
            <v>COD</v>
          </cell>
          <cell r="F231" t="str">
            <v>United Nations Development Programme, Democratic Republic of Congo</v>
          </cell>
        </row>
        <row r="232">
          <cell r="B232" t="str">
            <v>ZAR-506-G04-T</v>
          </cell>
          <cell r="C232" t="str">
            <v>Financial Closure</v>
          </cell>
          <cell r="D232" t="str">
            <v>High Impact Africa 1</v>
          </cell>
          <cell r="E232" t="str">
            <v>COD</v>
          </cell>
          <cell r="F232" t="str">
            <v>United Nations Development Programme, Democratic Republic of Congo</v>
          </cell>
        </row>
        <row r="233">
          <cell r="B233" t="str">
            <v>ZAR-607-G05-T</v>
          </cell>
          <cell r="C233" t="str">
            <v>Administratively Closed</v>
          </cell>
          <cell r="D233" t="str">
            <v>High Impact Africa 1</v>
          </cell>
          <cell r="E233" t="str">
            <v>COD</v>
          </cell>
          <cell r="F233" t="str">
            <v>United Nations Development Programme, Democratic Republic of Congo</v>
          </cell>
        </row>
        <row r="234">
          <cell r="B234" t="str">
            <v>ZAR-708-G06-H</v>
          </cell>
          <cell r="C234" t="str">
            <v>Financial Closure</v>
          </cell>
          <cell r="D234" t="str">
            <v>High Impact Africa 1</v>
          </cell>
          <cell r="E234" t="str">
            <v>COD</v>
          </cell>
          <cell r="F234" t="str">
            <v>United Nations Development Programme, Democratic Republic of Congo</v>
          </cell>
        </row>
        <row r="235">
          <cell r="B235" t="str">
            <v>ZAR-809-G07-M</v>
          </cell>
          <cell r="C235" t="str">
            <v>Administratively Closed</v>
          </cell>
          <cell r="D235" t="str">
            <v>High Impact Africa 1</v>
          </cell>
          <cell r="E235" t="str">
            <v>COD</v>
          </cell>
          <cell r="F235" t="str">
            <v>Population Services International, DRC</v>
          </cell>
        </row>
        <row r="236">
          <cell r="B236" t="str">
            <v>ZAR-809-G10-H</v>
          </cell>
          <cell r="C236" t="str">
            <v>Financial Closure</v>
          </cell>
          <cell r="D236" t="str">
            <v>High Impact Africa 1</v>
          </cell>
          <cell r="E236" t="str">
            <v>COD</v>
          </cell>
          <cell r="F236" t="str">
            <v>United Nations Development Programme, Democratic Republic of Congo</v>
          </cell>
        </row>
        <row r="237">
          <cell r="B237" t="str">
            <v>ZAR-810-G08-M</v>
          </cell>
          <cell r="C237" t="str">
            <v>Administratively Closed</v>
          </cell>
          <cell r="D237" t="str">
            <v>High Impact Africa 1</v>
          </cell>
          <cell r="E237" t="str">
            <v>COD</v>
          </cell>
          <cell r="F237" t="str">
            <v>Eglise du Christ au Congo / Santé Rurale</v>
          </cell>
        </row>
        <row r="238">
          <cell r="B238" t="str">
            <v>ZAR-810-G09-M</v>
          </cell>
          <cell r="C238" t="str">
            <v>Financial Closure</v>
          </cell>
          <cell r="D238" t="str">
            <v>High Impact Africa 1</v>
          </cell>
          <cell r="E238" t="str">
            <v>COD</v>
          </cell>
          <cell r="F238" t="str">
            <v>United Nations Development Programme, Democratic Republic of Congo</v>
          </cell>
        </row>
        <row r="239">
          <cell r="B239" t="str">
            <v>ZAR-810-G11-H</v>
          </cell>
          <cell r="C239" t="str">
            <v>Administratively Closed</v>
          </cell>
          <cell r="D239" t="str">
            <v>High Impact Africa 1</v>
          </cell>
          <cell r="E239" t="str">
            <v>COD</v>
          </cell>
          <cell r="F239" t="str">
            <v>Catholic Organisation for Relief and Development Aid, Congo</v>
          </cell>
        </row>
        <row r="240">
          <cell r="B240" t="str">
            <v>ZAR-810-G12-H</v>
          </cell>
          <cell r="C240" t="str">
            <v>Administratively Closed</v>
          </cell>
          <cell r="D240" t="str">
            <v>High Impact Africa 1</v>
          </cell>
          <cell r="E240" t="str">
            <v>COD</v>
          </cell>
          <cell r="F240" t="str">
            <v>Eglise du Christ au Congo / Santé Rurale</v>
          </cell>
        </row>
        <row r="241">
          <cell r="B241" t="str">
            <v>ZAR-911-G13-T</v>
          </cell>
          <cell r="C241" t="str">
            <v>Active</v>
          </cell>
          <cell r="D241" t="str">
            <v>High Impact Africa 1</v>
          </cell>
          <cell r="E241" t="str">
            <v>COD</v>
          </cell>
          <cell r="F241" t="str">
            <v>Ministry of Health of Congo Democratic Republic</v>
          </cell>
        </row>
        <row r="242">
          <cell r="B242" t="str">
            <v>ZAR-911-G14-T</v>
          </cell>
          <cell r="C242" t="str">
            <v>Active</v>
          </cell>
          <cell r="D242" t="str">
            <v>High Impact Africa 1</v>
          </cell>
          <cell r="E242" t="str">
            <v>COD</v>
          </cell>
          <cell r="F242" t="str">
            <v>Caritas Congo</v>
          </cell>
        </row>
        <row r="243">
          <cell r="B243" t="str">
            <v>ZAR-H-CORDAID</v>
          </cell>
          <cell r="C243" t="str">
            <v>Active</v>
          </cell>
          <cell r="D243" t="str">
            <v>High Impact Africa 1</v>
          </cell>
          <cell r="E243" t="str">
            <v>COD</v>
          </cell>
          <cell r="F243" t="str">
            <v>Catholic Organisation for Relief and Development Aid, Congo</v>
          </cell>
        </row>
        <row r="244">
          <cell r="B244" t="str">
            <v>ZAR-H-SANRU</v>
          </cell>
          <cell r="C244" t="str">
            <v>Active</v>
          </cell>
          <cell r="D244" t="str">
            <v>High Impact Africa 1</v>
          </cell>
          <cell r="E244" t="str">
            <v>COD</v>
          </cell>
          <cell r="F244" t="str">
            <v>Eglise du Christ au Congo / Santé Rurale</v>
          </cell>
        </row>
        <row r="245">
          <cell r="B245" t="str">
            <v>ZAR-M-MOH</v>
          </cell>
          <cell r="C245" t="str">
            <v>Active</v>
          </cell>
          <cell r="D245" t="str">
            <v>High Impact Africa 1</v>
          </cell>
          <cell r="E245" t="str">
            <v>COD</v>
          </cell>
          <cell r="F245" t="str">
            <v>Ministry of Health of Congo Democratic Republic</v>
          </cell>
        </row>
        <row r="246">
          <cell r="B246" t="str">
            <v>ZAR-M-PSI</v>
          </cell>
          <cell r="C246" t="str">
            <v>Active</v>
          </cell>
          <cell r="D246" t="str">
            <v>High Impact Africa 1</v>
          </cell>
          <cell r="E246" t="str">
            <v>COD</v>
          </cell>
          <cell r="F246" t="str">
            <v>Population Services International, USA</v>
          </cell>
        </row>
        <row r="247">
          <cell r="B247" t="str">
            <v>ZAR-S-MOH</v>
          </cell>
          <cell r="C247" t="str">
            <v>Active</v>
          </cell>
          <cell r="D247" t="str">
            <v>High Impact Africa 1</v>
          </cell>
          <cell r="E247" t="str">
            <v>COD</v>
          </cell>
          <cell r="F247" t="str">
            <v>Ministry of Health of Congo Democratic Republic</v>
          </cell>
        </row>
        <row r="248">
          <cell r="B248" t="str">
            <v>COR-202-G01-H-00</v>
          </cell>
          <cell r="C248" t="str">
            <v>Administratively Closed</v>
          </cell>
          <cell r="D248" t="str">
            <v>Latin America and Caribbean</v>
          </cell>
          <cell r="E248" t="str">
            <v>CRI</v>
          </cell>
          <cell r="F248" t="str">
            <v>Consejo Técnico de Asistencia Médico Social</v>
          </cell>
        </row>
        <row r="249">
          <cell r="B249" t="str">
            <v>COR-202-G02-H-00</v>
          </cell>
          <cell r="C249" t="str">
            <v>Administratively Closed</v>
          </cell>
          <cell r="D249" t="str">
            <v>Latin America and Caribbean</v>
          </cell>
          <cell r="E249" t="str">
            <v>CRI</v>
          </cell>
          <cell r="F249" t="str">
            <v>Humanist Institute for Cooperation with Developing Countries</v>
          </cell>
        </row>
        <row r="250">
          <cell r="B250" t="str">
            <v>HRV-202-G01-H-00</v>
          </cell>
          <cell r="C250" t="str">
            <v>Administratively Closed</v>
          </cell>
          <cell r="D250" t="str">
            <v>Eastern Europe and Central Asia</v>
          </cell>
          <cell r="E250" t="str">
            <v>HRV</v>
          </cell>
          <cell r="F250" t="str">
            <v>Ministry of Health and Social Welfare of Croatia</v>
          </cell>
        </row>
        <row r="251">
          <cell r="B251" t="str">
            <v>CUB-202-G01-H-00</v>
          </cell>
          <cell r="C251" t="str">
            <v>Active</v>
          </cell>
          <cell r="D251" t="str">
            <v>Latin America and Caribbean</v>
          </cell>
          <cell r="E251" t="str">
            <v>CUB</v>
          </cell>
          <cell r="F251" t="str">
            <v>United Nations Development Programme, Cuba</v>
          </cell>
        </row>
        <row r="252">
          <cell r="B252" t="str">
            <v>CUB-607-G02-H</v>
          </cell>
          <cell r="C252" t="str">
            <v>Financial Closure</v>
          </cell>
          <cell r="D252" t="str">
            <v>Latin America and Caribbean</v>
          </cell>
          <cell r="E252" t="str">
            <v>CUB</v>
          </cell>
          <cell r="F252" t="str">
            <v>United Nations Development Programme, Cuba</v>
          </cell>
        </row>
        <row r="253">
          <cell r="B253" t="str">
            <v>CUB-708-G03-T</v>
          </cell>
          <cell r="C253" t="str">
            <v>Financial Closure</v>
          </cell>
          <cell r="D253" t="str">
            <v>Latin America and Caribbean</v>
          </cell>
          <cell r="E253" t="str">
            <v>CUB</v>
          </cell>
          <cell r="F253" t="str">
            <v>United Nations Development Programme, Cuba</v>
          </cell>
        </row>
        <row r="254">
          <cell r="B254" t="str">
            <v>CUB-H-UNDP</v>
          </cell>
          <cell r="C254" t="str">
            <v>Active</v>
          </cell>
          <cell r="D254" t="str">
            <v>Latin America and Caribbean</v>
          </cell>
          <cell r="E254" t="str">
            <v>CUB</v>
          </cell>
          <cell r="F254" t="str">
            <v>United Nations Development Programme, Cuba</v>
          </cell>
        </row>
        <row r="255">
          <cell r="B255" t="str">
            <v>CIV-202-G01-H-00</v>
          </cell>
          <cell r="C255" t="str">
            <v>Administratively Closed</v>
          </cell>
          <cell r="D255" t="str">
            <v>High Impact Africa 1</v>
          </cell>
          <cell r="E255" t="str">
            <v>CIV</v>
          </cell>
          <cell r="F255" t="str">
            <v>United Nations Development Programme, Cote d'Ivoire</v>
          </cell>
        </row>
        <row r="256">
          <cell r="B256" t="str">
            <v>CIV-202-G05-H</v>
          </cell>
          <cell r="C256" t="str">
            <v>Financial Closure</v>
          </cell>
          <cell r="D256" t="str">
            <v>High Impact Africa 1</v>
          </cell>
          <cell r="E256" t="str">
            <v>CIV</v>
          </cell>
          <cell r="F256" t="str">
            <v>CARE Cote d'Ivoire</v>
          </cell>
        </row>
        <row r="257">
          <cell r="B257" t="str">
            <v>CIV-304-G02-H</v>
          </cell>
          <cell r="C257" t="str">
            <v>Financial Closure</v>
          </cell>
          <cell r="D257" t="str">
            <v>High Impact Africa 1</v>
          </cell>
          <cell r="E257" t="str">
            <v>CIV</v>
          </cell>
          <cell r="F257" t="str">
            <v>CARE Cote d'Ivoire</v>
          </cell>
        </row>
        <row r="258">
          <cell r="B258" t="str">
            <v>CIV-304-G03-T</v>
          </cell>
          <cell r="C258" t="str">
            <v>Financial Closure</v>
          </cell>
          <cell r="D258" t="str">
            <v>High Impact Africa 1</v>
          </cell>
          <cell r="E258" t="str">
            <v>CIV</v>
          </cell>
          <cell r="F258" t="str">
            <v>United Nations Development Programme, Cote d'Ivoire</v>
          </cell>
        </row>
        <row r="259">
          <cell r="B259" t="str">
            <v>CIV-506-G04-H</v>
          </cell>
          <cell r="C259" t="str">
            <v>Financial Closure</v>
          </cell>
          <cell r="D259" t="str">
            <v>High Impact Africa 1</v>
          </cell>
          <cell r="E259" t="str">
            <v>CIV</v>
          </cell>
          <cell r="F259" t="str">
            <v>CARE Cote d'Ivoire</v>
          </cell>
        </row>
        <row r="260">
          <cell r="B260" t="str">
            <v>CIV-607-G06-M</v>
          </cell>
          <cell r="C260" t="str">
            <v>Financial Closure</v>
          </cell>
          <cell r="D260" t="str">
            <v>High Impact Africa 1</v>
          </cell>
          <cell r="E260" t="str">
            <v>CIV</v>
          </cell>
          <cell r="F260" t="str">
            <v>CARE Cote d'Ivoire</v>
          </cell>
        </row>
        <row r="261">
          <cell r="B261" t="str">
            <v>CIV-607-G07-T</v>
          </cell>
          <cell r="C261" t="str">
            <v>Administratively Closed</v>
          </cell>
          <cell r="D261" t="str">
            <v>High Impact Africa 1</v>
          </cell>
          <cell r="E261" t="str">
            <v>CIV</v>
          </cell>
          <cell r="F261" t="str">
            <v>NTBP</v>
          </cell>
        </row>
        <row r="262">
          <cell r="B262" t="str">
            <v>CIV-809-G08-M</v>
          </cell>
          <cell r="C262" t="str">
            <v>Active</v>
          </cell>
          <cell r="D262" t="str">
            <v>High Impact Africa 1</v>
          </cell>
          <cell r="E262" t="str">
            <v>CIV</v>
          </cell>
          <cell r="F262" t="str">
            <v>CARE Cote d'Ivoire</v>
          </cell>
        </row>
        <row r="263">
          <cell r="B263" t="str">
            <v>CIV-809-G09-M</v>
          </cell>
          <cell r="C263" t="str">
            <v>Active</v>
          </cell>
          <cell r="D263" t="str">
            <v>High Impact Africa 1</v>
          </cell>
          <cell r="E263" t="str">
            <v>CIV</v>
          </cell>
          <cell r="F263" t="str">
            <v>National Program for Malaria Control</v>
          </cell>
        </row>
        <row r="264">
          <cell r="B264" t="str">
            <v>CIV-910-G12-H</v>
          </cell>
          <cell r="C264" t="str">
            <v>Active</v>
          </cell>
          <cell r="D264" t="str">
            <v>High Impact Africa 1</v>
          </cell>
          <cell r="E264" t="str">
            <v>CIV</v>
          </cell>
          <cell r="F264" t="str">
            <v>National Program for the Care of HIV/AIDS patients</v>
          </cell>
        </row>
        <row r="265">
          <cell r="B265" t="str">
            <v>CIV-910-G13-H</v>
          </cell>
          <cell r="C265" t="str">
            <v>Active</v>
          </cell>
          <cell r="D265" t="str">
            <v>High Impact Africa 1</v>
          </cell>
          <cell r="E265" t="str">
            <v>CIV</v>
          </cell>
          <cell r="F265" t="str">
            <v>Alliance Nationale Contre le SIDA, Cote d'Ivoire</v>
          </cell>
        </row>
        <row r="266">
          <cell r="B266" t="str">
            <v>CIV-S10-G10-T</v>
          </cell>
          <cell r="C266" t="str">
            <v>Active</v>
          </cell>
          <cell r="D266" t="str">
            <v>High Impact Africa 1</v>
          </cell>
          <cell r="E266" t="str">
            <v>CIV</v>
          </cell>
          <cell r="F266" t="str">
            <v>NTBP</v>
          </cell>
        </row>
        <row r="267">
          <cell r="B267" t="str">
            <v>CIV-S10-G11-T</v>
          </cell>
          <cell r="C267" t="str">
            <v>Active</v>
          </cell>
          <cell r="D267" t="str">
            <v>High Impact Africa 1</v>
          </cell>
          <cell r="E267" t="str">
            <v>CIV</v>
          </cell>
          <cell r="F267" t="str">
            <v>Caritas Côte d'Ivoire</v>
          </cell>
        </row>
        <row r="268">
          <cell r="B268" t="str">
            <v>DJB-013-G06-T</v>
          </cell>
          <cell r="C268" t="str">
            <v>Active</v>
          </cell>
          <cell r="D268" t="str">
            <v>Middle East and North Africa</v>
          </cell>
          <cell r="E268" t="str">
            <v>DJI</v>
          </cell>
          <cell r="F268" t="str">
            <v>United Nations Development Program, Djibouti</v>
          </cell>
        </row>
        <row r="269">
          <cell r="B269" t="str">
            <v>DJB-404-G01-H</v>
          </cell>
          <cell r="C269" t="str">
            <v>Financial Closure</v>
          </cell>
          <cell r="D269" t="str">
            <v>Middle East and North Africa</v>
          </cell>
          <cell r="E269" t="str">
            <v>DJI</v>
          </cell>
          <cell r="F269" t="str">
            <v>Secrétariat Exécutif de Lutte contre le Sida la Tuberculose et le Paludisme</v>
          </cell>
        </row>
        <row r="270">
          <cell r="B270" t="str">
            <v>DJB-607-G02-M</v>
          </cell>
          <cell r="C270" t="str">
            <v>Financial Closure</v>
          </cell>
          <cell r="D270" t="str">
            <v>Middle East and North Africa</v>
          </cell>
          <cell r="E270" t="str">
            <v>DJI</v>
          </cell>
          <cell r="F270" t="str">
            <v>Secrétariat Exécutif de Lutte contre le Sida la Tuberculose et le Paludisme</v>
          </cell>
        </row>
        <row r="271">
          <cell r="B271" t="str">
            <v>DJB-607-G03-T</v>
          </cell>
          <cell r="C271" t="str">
            <v>Financial Closure</v>
          </cell>
          <cell r="D271" t="str">
            <v>Middle East and North Africa</v>
          </cell>
          <cell r="E271" t="str">
            <v>DJI</v>
          </cell>
          <cell r="F271" t="str">
            <v>Secrétariat Exécutif de Lutte contre le Sida la Tuberculose et le Paludisme</v>
          </cell>
        </row>
        <row r="272">
          <cell r="B272" t="str">
            <v>DJB-607-G04-H</v>
          </cell>
          <cell r="C272" t="str">
            <v>Financial Closure</v>
          </cell>
          <cell r="D272" t="str">
            <v>Middle East and North Africa</v>
          </cell>
          <cell r="E272" t="str">
            <v>DJI</v>
          </cell>
          <cell r="F272" t="str">
            <v>Secrétariat Exécutif de Lutte contre le Sida la Tuberculose et le Paludisme</v>
          </cell>
        </row>
        <row r="273">
          <cell r="B273" t="str">
            <v>DJB-613-G05-H</v>
          </cell>
          <cell r="C273" t="str">
            <v>Active</v>
          </cell>
          <cell r="D273" t="str">
            <v>Middle East and North Africa</v>
          </cell>
          <cell r="E273" t="str">
            <v>DJI</v>
          </cell>
          <cell r="F273" t="str">
            <v>United Nations Development Program, Djibouti</v>
          </cell>
        </row>
        <row r="274">
          <cell r="B274" t="str">
            <v>DJB-M-NEWPH</v>
          </cell>
          <cell r="C274" t="str">
            <v>N.D.</v>
          </cell>
          <cell r="D274" t="str">
            <v>Middle East and North Africa</v>
          </cell>
          <cell r="E274" t="str">
            <v>DJI</v>
          </cell>
          <cell r="F274" t="str">
            <v>Not Defined</v>
          </cell>
        </row>
        <row r="275">
          <cell r="B275" t="str">
            <v>DMR-202-G01-H-00</v>
          </cell>
          <cell r="C275" t="str">
            <v>Active</v>
          </cell>
          <cell r="D275" t="str">
            <v>Latin America and Caribbean</v>
          </cell>
          <cell r="E275" t="str">
            <v>DOM</v>
          </cell>
          <cell r="F275" t="str">
            <v>Consejo NAcional para el VIH y el SIDA</v>
          </cell>
        </row>
        <row r="276">
          <cell r="B276" t="str">
            <v>DMR-202-G04-H-00</v>
          </cell>
          <cell r="C276" t="str">
            <v>Active</v>
          </cell>
          <cell r="D276" t="str">
            <v>Latin America and Caribbean</v>
          </cell>
          <cell r="E276" t="str">
            <v>DOM</v>
          </cell>
          <cell r="F276" t="str">
            <v>Instituto Dermatologico y Cirugia de Piel</v>
          </cell>
        </row>
        <row r="277">
          <cell r="B277" t="str">
            <v>DMR-304-G02-T</v>
          </cell>
          <cell r="C277" t="str">
            <v>Administratively Closed</v>
          </cell>
          <cell r="D277" t="str">
            <v>Latin America and Caribbean</v>
          </cell>
          <cell r="E277" t="str">
            <v>DOM</v>
          </cell>
          <cell r="F277" t="str">
            <v>Asociación Dominicana Pro-Bienestar de la Familia (PROFAMILIA)</v>
          </cell>
        </row>
        <row r="278">
          <cell r="B278" t="str">
            <v>DMR-309-G07-T</v>
          </cell>
          <cell r="C278" t="str">
            <v>Active</v>
          </cell>
          <cell r="D278" t="str">
            <v>Latin America and Caribbean</v>
          </cell>
          <cell r="E278" t="str">
            <v>DOM</v>
          </cell>
          <cell r="F278" t="str">
            <v>Subsecretaria de Estado de Salud Colectiva, Ministry of Health</v>
          </cell>
        </row>
        <row r="279">
          <cell r="B279" t="str">
            <v>DMR-708-G03-T</v>
          </cell>
          <cell r="C279" t="str">
            <v>Administratively Closed</v>
          </cell>
          <cell r="D279" t="str">
            <v>Latin America and Caribbean</v>
          </cell>
          <cell r="E279" t="str">
            <v>DOM</v>
          </cell>
          <cell r="F279" t="str">
            <v>Asociación Dominicana Pro-Bienestar de la Familia (PROFAMILIA)</v>
          </cell>
        </row>
        <row r="280">
          <cell r="B280" t="str">
            <v>DMR-708-G08-T</v>
          </cell>
          <cell r="C280" t="str">
            <v>Administratively Closed</v>
          </cell>
          <cell r="D280" t="str">
            <v>Latin America and Caribbean</v>
          </cell>
          <cell r="E280" t="str">
            <v>DOM</v>
          </cell>
          <cell r="F280" t="str">
            <v>Subsecretaria de Estado de Salud Colectiva, Ministry of Health</v>
          </cell>
        </row>
        <row r="281">
          <cell r="B281" t="str">
            <v>DMR-809-G05-M</v>
          </cell>
          <cell r="C281" t="str">
            <v>Active</v>
          </cell>
          <cell r="D281" t="str">
            <v>Latin America and Caribbean</v>
          </cell>
          <cell r="E281" t="str">
            <v>DOM</v>
          </cell>
          <cell r="F281" t="str">
            <v>Instituto Dermatologico y Cirugia de Piel</v>
          </cell>
        </row>
        <row r="282">
          <cell r="B282" t="str">
            <v>DMR-809-G06-M</v>
          </cell>
          <cell r="C282" t="str">
            <v>Financial Closure</v>
          </cell>
          <cell r="D282" t="str">
            <v>Latin America and Caribbean</v>
          </cell>
          <cell r="E282" t="str">
            <v>DOM</v>
          </cell>
          <cell r="F282" t="str">
            <v>Centro Nacional de Control de Enfermedades Tropicales</v>
          </cell>
        </row>
        <row r="283">
          <cell r="B283" t="str">
            <v>ECU-202-G01-H-00</v>
          </cell>
          <cell r="C283" t="str">
            <v>Administratively Closed</v>
          </cell>
          <cell r="D283" t="str">
            <v>Latin America and Caribbean</v>
          </cell>
          <cell r="E283" t="str">
            <v>ECU</v>
          </cell>
          <cell r="F283" t="str">
            <v>Ministry of Public Health of Ecuador</v>
          </cell>
        </row>
        <row r="284">
          <cell r="B284" t="str">
            <v>ECU-202-G03-H-00</v>
          </cell>
          <cell r="C284" t="str">
            <v>Administratively Closed</v>
          </cell>
          <cell r="D284" t="str">
            <v>Latin America and Caribbean</v>
          </cell>
          <cell r="E284" t="str">
            <v>ECU</v>
          </cell>
          <cell r="F284" t="str">
            <v>CARE Ecuador</v>
          </cell>
        </row>
        <row r="285">
          <cell r="B285" t="str">
            <v>ECU-405-G02-T</v>
          </cell>
          <cell r="C285" t="str">
            <v>Administratively Closed</v>
          </cell>
          <cell r="D285" t="str">
            <v>Latin America and Caribbean</v>
          </cell>
          <cell r="E285" t="str">
            <v>ECU</v>
          </cell>
          <cell r="F285" t="str">
            <v>CARE Ecuador</v>
          </cell>
        </row>
        <row r="286">
          <cell r="B286" t="str">
            <v>ECU-809-G04-M</v>
          </cell>
          <cell r="C286" t="str">
            <v>Active</v>
          </cell>
          <cell r="D286" t="str">
            <v>Latin America and Caribbean</v>
          </cell>
          <cell r="E286" t="str">
            <v>ECU</v>
          </cell>
          <cell r="F286" t="str">
            <v>Unidad Technica Gerencial, Ministry of Health of Ecuador</v>
          </cell>
        </row>
        <row r="287">
          <cell r="B287" t="str">
            <v>ECU-809-G05-M</v>
          </cell>
          <cell r="C287" t="str">
            <v>Active</v>
          </cell>
          <cell r="D287" t="str">
            <v>Latin America and Caribbean</v>
          </cell>
          <cell r="E287" t="str">
            <v>ECU</v>
          </cell>
          <cell r="F287" t="str">
            <v>Corporacion Kimirina</v>
          </cell>
        </row>
        <row r="288">
          <cell r="B288" t="str">
            <v>ECU-910-G06-H</v>
          </cell>
          <cell r="C288" t="str">
            <v>Active</v>
          </cell>
          <cell r="D288" t="str">
            <v>Latin America and Caribbean</v>
          </cell>
          <cell r="E288" t="str">
            <v>ECU</v>
          </cell>
          <cell r="F288" t="str">
            <v>Ministry of Public Health of Ecuador</v>
          </cell>
        </row>
        <row r="289">
          <cell r="B289" t="str">
            <v>ECU-910-G07-H</v>
          </cell>
          <cell r="C289" t="str">
            <v>Active</v>
          </cell>
          <cell r="D289" t="str">
            <v>Latin America and Caribbean</v>
          </cell>
          <cell r="E289" t="str">
            <v>ECU</v>
          </cell>
          <cell r="F289" t="str">
            <v>Corporacion Kimirina</v>
          </cell>
        </row>
        <row r="290">
          <cell r="B290" t="str">
            <v>ECU-910-G08-T</v>
          </cell>
          <cell r="C290" t="str">
            <v>Active</v>
          </cell>
          <cell r="D290" t="str">
            <v>Latin America and Caribbean</v>
          </cell>
          <cell r="E290" t="str">
            <v>ECU</v>
          </cell>
          <cell r="F290" t="str">
            <v>Ministry of Public Health of Ecuador</v>
          </cell>
        </row>
        <row r="291">
          <cell r="B291" t="str">
            <v>ECU-910-G09-T</v>
          </cell>
          <cell r="C291" t="str">
            <v>Active</v>
          </cell>
          <cell r="D291" t="str">
            <v>Latin America and Caribbean</v>
          </cell>
          <cell r="E291" t="str">
            <v>ECU</v>
          </cell>
          <cell r="F291" t="str">
            <v>CARE Ecuador</v>
          </cell>
        </row>
        <row r="292">
          <cell r="B292" t="str">
            <v>EGY-202-G01-T-00</v>
          </cell>
          <cell r="C292" t="str">
            <v>Administratively Closed</v>
          </cell>
          <cell r="D292" t="str">
            <v>Middle East and North Africa</v>
          </cell>
          <cell r="E292" t="str">
            <v>EGY</v>
          </cell>
          <cell r="F292" t="str">
            <v>National Tuberculosis Control Program, Ministry of Health and Population in Egypt</v>
          </cell>
        </row>
        <row r="293">
          <cell r="B293" t="str">
            <v>EGY-607-G02-T</v>
          </cell>
          <cell r="C293" t="str">
            <v>Active</v>
          </cell>
          <cell r="D293" t="str">
            <v>Middle East and North Africa</v>
          </cell>
          <cell r="E293" t="str">
            <v>EGY</v>
          </cell>
          <cell r="F293" t="str">
            <v>National Tuberculosis Control Program, Ministry of Health and Population in Egypt</v>
          </cell>
        </row>
        <row r="294">
          <cell r="B294" t="str">
            <v>EGY-608-G03-H</v>
          </cell>
          <cell r="C294" t="str">
            <v>Active</v>
          </cell>
          <cell r="D294" t="str">
            <v>Middle East and North Africa</v>
          </cell>
          <cell r="E294" t="str">
            <v>EGY</v>
          </cell>
          <cell r="F294" t="str">
            <v>National AIDS Programme, Ministry of Health and Population in Egypt</v>
          </cell>
        </row>
        <row r="295">
          <cell r="B295" t="str">
            <v>SLV-202-G01-H-00</v>
          </cell>
          <cell r="C295" t="str">
            <v>Administratively Closed</v>
          </cell>
          <cell r="D295" t="str">
            <v>Latin America and Caribbean</v>
          </cell>
          <cell r="E295" t="str">
            <v>SLV</v>
          </cell>
          <cell r="F295" t="str">
            <v>United Nations Development Programme, El Salvador</v>
          </cell>
        </row>
        <row r="296">
          <cell r="B296" t="str">
            <v>SLV-202-G02-T-00</v>
          </cell>
          <cell r="C296" t="str">
            <v>Administratively Closed</v>
          </cell>
          <cell r="D296" t="str">
            <v>Latin America and Caribbean</v>
          </cell>
          <cell r="E296" t="str">
            <v>SLV</v>
          </cell>
          <cell r="F296" t="str">
            <v>United Nations Development Programme, El Salvador</v>
          </cell>
        </row>
        <row r="297">
          <cell r="B297" t="str">
            <v>SLV-202-G03-H-00</v>
          </cell>
          <cell r="C297" t="str">
            <v>Administratively Closed</v>
          </cell>
          <cell r="D297" t="str">
            <v>Latin America and Caribbean</v>
          </cell>
          <cell r="E297" t="str">
            <v>SLV</v>
          </cell>
          <cell r="F297" t="str">
            <v>Ministry of Health of El Salvador</v>
          </cell>
        </row>
        <row r="298">
          <cell r="B298" t="str">
            <v>SLV-202-G04-T-00</v>
          </cell>
          <cell r="C298" t="str">
            <v>Administratively Closed</v>
          </cell>
          <cell r="D298" t="str">
            <v>Latin America and Caribbean</v>
          </cell>
          <cell r="E298" t="str">
            <v>SLV</v>
          </cell>
          <cell r="F298" t="str">
            <v>Ministry of Health of El Salvador</v>
          </cell>
        </row>
        <row r="299">
          <cell r="B299" t="str">
            <v>SLV-708-G05-H</v>
          </cell>
          <cell r="C299" t="str">
            <v>Administratively Closed</v>
          </cell>
          <cell r="D299" t="str">
            <v>Latin America and Caribbean</v>
          </cell>
          <cell r="E299" t="str">
            <v>SLV</v>
          </cell>
          <cell r="F299" t="str">
            <v>Ministry of Health of El Salvador</v>
          </cell>
        </row>
        <row r="300">
          <cell r="B300" t="str">
            <v>SLV-708-G06-H</v>
          </cell>
          <cell r="C300" t="str">
            <v>Administratively Closed</v>
          </cell>
          <cell r="D300" t="str">
            <v>Latin America and Caribbean</v>
          </cell>
          <cell r="E300" t="str">
            <v>SLV</v>
          </cell>
          <cell r="F300" t="str">
            <v>United Nations Development Programme, El Salvador</v>
          </cell>
        </row>
        <row r="301">
          <cell r="B301" t="str">
            <v>SLV-910-G07-T</v>
          </cell>
          <cell r="C301" t="str">
            <v>Administratively Closed</v>
          </cell>
          <cell r="D301" t="str">
            <v>Latin America and Caribbean</v>
          </cell>
          <cell r="E301" t="str">
            <v>SLV</v>
          </cell>
          <cell r="F301" t="str">
            <v>United Nations Development Programme, El Salvador</v>
          </cell>
        </row>
        <row r="302">
          <cell r="B302" t="str">
            <v>SLV-910-G08-T</v>
          </cell>
          <cell r="C302" t="str">
            <v>Active</v>
          </cell>
          <cell r="D302" t="str">
            <v>Latin America and Caribbean</v>
          </cell>
          <cell r="E302" t="str">
            <v>SLV</v>
          </cell>
          <cell r="F302" t="str">
            <v>Ministry of Health of El Salvador</v>
          </cell>
        </row>
        <row r="303">
          <cell r="B303" t="str">
            <v>SLV-H-MINSAL</v>
          </cell>
          <cell r="C303" t="str">
            <v>Active</v>
          </cell>
          <cell r="D303" t="str">
            <v>Latin America and Caribbean</v>
          </cell>
          <cell r="E303" t="str">
            <v>SLV</v>
          </cell>
          <cell r="F303" t="str">
            <v>Ministry of Health of El Salvador</v>
          </cell>
        </row>
        <row r="304">
          <cell r="B304" t="str">
            <v>SLV-H-PLAN</v>
          </cell>
          <cell r="C304" t="str">
            <v>Active</v>
          </cell>
          <cell r="D304" t="str">
            <v>Latin America and Caribbean</v>
          </cell>
          <cell r="E304" t="str">
            <v>SLV</v>
          </cell>
          <cell r="F304" t="str">
            <v>Plan El Salvador</v>
          </cell>
        </row>
        <row r="305">
          <cell r="B305" t="str">
            <v>SLV-H-UNDP</v>
          </cell>
          <cell r="C305" t="str">
            <v>Financial Closure</v>
          </cell>
          <cell r="D305" t="str">
            <v>Latin America and Caribbean</v>
          </cell>
          <cell r="E305" t="str">
            <v>SLV</v>
          </cell>
          <cell r="F305" t="str">
            <v>United Nations Development Programme, El Salvador</v>
          </cell>
        </row>
        <row r="306">
          <cell r="B306" t="str">
            <v>GNQ-405-G01-H</v>
          </cell>
          <cell r="C306" t="str">
            <v>Financial Closure</v>
          </cell>
          <cell r="D306" t="str">
            <v>Central Africa</v>
          </cell>
          <cell r="E306" t="str">
            <v>GNQ</v>
          </cell>
          <cell r="F306" t="str">
            <v>United Nations Development Programme, Equatorial Guinea</v>
          </cell>
        </row>
        <row r="307">
          <cell r="B307" t="str">
            <v>GNQ-506-G02-M</v>
          </cell>
          <cell r="C307" t="str">
            <v>Financial Closure</v>
          </cell>
          <cell r="D307" t="str">
            <v>Central Africa</v>
          </cell>
          <cell r="E307" t="str">
            <v>GNQ</v>
          </cell>
          <cell r="F307" t="str">
            <v>Medical Care Development International</v>
          </cell>
        </row>
        <row r="308">
          <cell r="B308" t="str">
            <v>ERI-910-G07-M</v>
          </cell>
          <cell r="C308" t="str">
            <v>Active</v>
          </cell>
          <cell r="D308" t="str">
            <v>Middle East and North Africa</v>
          </cell>
          <cell r="E308" t="str">
            <v>ERI</v>
          </cell>
          <cell r="F308" t="str">
            <v>Ministry of Health of Eritrea</v>
          </cell>
        </row>
        <row r="309">
          <cell r="B309" t="str">
            <v>ERI-H-MOH</v>
          </cell>
          <cell r="C309" t="str">
            <v>Active</v>
          </cell>
          <cell r="D309" t="str">
            <v>Middle East and North Africa</v>
          </cell>
          <cell r="E309" t="str">
            <v>ERI</v>
          </cell>
          <cell r="F309" t="str">
            <v>Ministry of Health of Eritrea</v>
          </cell>
        </row>
        <row r="310">
          <cell r="B310" t="str">
            <v>ERI-T-MOH</v>
          </cell>
          <cell r="C310" t="str">
            <v>Active</v>
          </cell>
          <cell r="D310" t="str">
            <v>Middle East and North Africa</v>
          </cell>
          <cell r="E310" t="str">
            <v>ERI</v>
          </cell>
          <cell r="F310" t="str">
            <v>Ministry of Health of Eritrea</v>
          </cell>
        </row>
        <row r="311">
          <cell r="B311" t="str">
            <v>ERT-202-G01-M-00</v>
          </cell>
          <cell r="C311" t="str">
            <v>Administratively Closed</v>
          </cell>
          <cell r="D311" t="str">
            <v>Middle East and North Africa</v>
          </cell>
          <cell r="E311" t="str">
            <v>ERI</v>
          </cell>
          <cell r="F311" t="str">
            <v>Ministry of Health of Eritrea</v>
          </cell>
        </row>
        <row r="312">
          <cell r="B312" t="str">
            <v>ERT-304-G02-H</v>
          </cell>
          <cell r="C312" t="str">
            <v>Administratively Closed</v>
          </cell>
          <cell r="D312" t="str">
            <v>Middle East and North Africa</v>
          </cell>
          <cell r="E312" t="str">
            <v>ERI</v>
          </cell>
          <cell r="F312" t="str">
            <v>Ministry of Health of Eritrea</v>
          </cell>
        </row>
        <row r="313">
          <cell r="B313" t="str">
            <v>ERT-506-G03-H</v>
          </cell>
          <cell r="C313" t="str">
            <v>Administratively Closed</v>
          </cell>
          <cell r="D313" t="str">
            <v>Middle East and North Africa</v>
          </cell>
          <cell r="E313" t="str">
            <v>ERI</v>
          </cell>
          <cell r="F313" t="str">
            <v>Ministry of Health of Eritrea</v>
          </cell>
        </row>
        <row r="314">
          <cell r="B314" t="str">
            <v>ERT-607-G04-T</v>
          </cell>
          <cell r="C314" t="str">
            <v>Administratively Closed</v>
          </cell>
          <cell r="D314" t="str">
            <v>Middle East and North Africa</v>
          </cell>
          <cell r="E314" t="str">
            <v>ERI</v>
          </cell>
          <cell r="F314" t="str">
            <v>Ministry of Health of Eritrea</v>
          </cell>
        </row>
        <row r="315">
          <cell r="B315" t="str">
            <v>ERT-607-G05-M</v>
          </cell>
          <cell r="C315" t="str">
            <v>Administratively Closed</v>
          </cell>
          <cell r="D315" t="str">
            <v>Middle East and North Africa</v>
          </cell>
          <cell r="E315" t="str">
            <v>ERI</v>
          </cell>
          <cell r="F315" t="str">
            <v>Ministry of Health of Eritrea</v>
          </cell>
        </row>
        <row r="316">
          <cell r="B316" t="str">
            <v>ERT-809-G06-H</v>
          </cell>
          <cell r="C316" t="str">
            <v>Administratively Closed</v>
          </cell>
          <cell r="D316" t="str">
            <v>Middle East and North Africa</v>
          </cell>
          <cell r="E316" t="str">
            <v>ERI</v>
          </cell>
          <cell r="F316" t="str">
            <v>Ministry of Health of Eritrea</v>
          </cell>
        </row>
        <row r="317">
          <cell r="B317" t="str">
            <v>EST-202-G01-H-00</v>
          </cell>
          <cell r="C317" t="str">
            <v>Administratively Closed</v>
          </cell>
          <cell r="D317" t="str">
            <v>Eastern Europe and Central Asia</v>
          </cell>
          <cell r="E317" t="str">
            <v>EST</v>
          </cell>
          <cell r="F317" t="str">
            <v>National Institute for Health Development, Ministry of Social Affaires</v>
          </cell>
        </row>
        <row r="318">
          <cell r="B318" t="str">
            <v>ETH-102-G01-T-00</v>
          </cell>
          <cell r="C318" t="str">
            <v>Financial Closure</v>
          </cell>
          <cell r="D318" t="str">
            <v>High Impact Africa 2</v>
          </cell>
          <cell r="E318" t="str">
            <v>ETH</v>
          </cell>
          <cell r="F318" t="str">
            <v>Ministry of Health of Ethiopia</v>
          </cell>
        </row>
        <row r="319">
          <cell r="B319" t="str">
            <v>ETH-202-G02-M-00</v>
          </cell>
          <cell r="C319" t="str">
            <v>Financial Closure</v>
          </cell>
          <cell r="D319" t="str">
            <v>High Impact Africa 2</v>
          </cell>
          <cell r="E319" t="str">
            <v>ETH</v>
          </cell>
          <cell r="F319" t="str">
            <v>Ministry of Health of Ethiopia</v>
          </cell>
        </row>
        <row r="320">
          <cell r="B320" t="str">
            <v>ETH-202-G03-H-00</v>
          </cell>
          <cell r="C320" t="str">
            <v>Active</v>
          </cell>
          <cell r="D320" t="str">
            <v>High Impact Africa 2</v>
          </cell>
          <cell r="E320" t="str">
            <v>ETH</v>
          </cell>
          <cell r="F320" t="str">
            <v>HIV/AIDS Prevention &amp; Control Office</v>
          </cell>
        </row>
        <row r="321">
          <cell r="B321" t="str">
            <v>ETH-405-G04-H</v>
          </cell>
          <cell r="C321" t="str">
            <v>Financial Closure</v>
          </cell>
          <cell r="D321" t="str">
            <v>High Impact Africa 2</v>
          </cell>
          <cell r="E321" t="str">
            <v>ETH</v>
          </cell>
          <cell r="F321" t="str">
            <v>HIV/AIDS Prevention &amp; Control Office</v>
          </cell>
        </row>
        <row r="322">
          <cell r="B322" t="str">
            <v>ETH-506-G05-M</v>
          </cell>
          <cell r="C322" t="str">
            <v>Financial Closure</v>
          </cell>
          <cell r="D322" t="str">
            <v>High Impact Africa 2</v>
          </cell>
          <cell r="E322" t="str">
            <v>ETH</v>
          </cell>
          <cell r="F322" t="str">
            <v>Ministry of Health of Ethiopia</v>
          </cell>
        </row>
        <row r="323">
          <cell r="B323" t="str">
            <v>ETH-607-G06-T</v>
          </cell>
          <cell r="C323" t="str">
            <v>Administratively Closed</v>
          </cell>
          <cell r="D323" t="str">
            <v>High Impact Africa 2</v>
          </cell>
          <cell r="E323" t="str">
            <v>ETH</v>
          </cell>
          <cell r="F323" t="str">
            <v>Ministry of Health of Ethiopia</v>
          </cell>
        </row>
        <row r="324">
          <cell r="B324" t="str">
            <v>ETH-708-G07-H</v>
          </cell>
          <cell r="C324" t="str">
            <v>Active</v>
          </cell>
          <cell r="D324" t="str">
            <v>High Impact Africa 2</v>
          </cell>
          <cell r="E324" t="str">
            <v>ETH</v>
          </cell>
          <cell r="F324" t="str">
            <v>Network of Networks of HIV Positives in Ethiopia</v>
          </cell>
        </row>
        <row r="325">
          <cell r="B325" t="str">
            <v>ETH-708-G08-H</v>
          </cell>
          <cell r="C325" t="str">
            <v>Financial Closure</v>
          </cell>
          <cell r="D325" t="str">
            <v>High Impact Africa 2</v>
          </cell>
          <cell r="E325" t="str">
            <v>ETH</v>
          </cell>
          <cell r="F325" t="str">
            <v>HIV/AIDS Prevention &amp; Control Office</v>
          </cell>
        </row>
        <row r="326">
          <cell r="B326" t="str">
            <v>ETH-708-G09-H</v>
          </cell>
          <cell r="C326" t="str">
            <v>Active</v>
          </cell>
          <cell r="D326" t="str">
            <v>High Impact Africa 2</v>
          </cell>
          <cell r="E326" t="str">
            <v>ETH</v>
          </cell>
          <cell r="F326" t="str">
            <v>Ethiopian Interfaith Forum for Development, Dialogue and Action</v>
          </cell>
        </row>
        <row r="327">
          <cell r="B327" t="str">
            <v>ETH-809-G10-M</v>
          </cell>
          <cell r="C327" t="str">
            <v>Active</v>
          </cell>
          <cell r="D327" t="str">
            <v>High Impact Africa 2</v>
          </cell>
          <cell r="E327" t="str">
            <v>ETH</v>
          </cell>
          <cell r="F327" t="str">
            <v>Ministry of Health of Ethiopia</v>
          </cell>
        </row>
        <row r="328">
          <cell r="B328" t="str">
            <v>ETH-911-G11-S</v>
          </cell>
          <cell r="C328" t="str">
            <v>Active</v>
          </cell>
          <cell r="D328" t="str">
            <v>High Impact Africa 2</v>
          </cell>
          <cell r="E328" t="str">
            <v>ETH</v>
          </cell>
          <cell r="F328" t="str">
            <v>Ministry of Health of Ethiopia</v>
          </cell>
        </row>
        <row r="329">
          <cell r="B329" t="str">
            <v>ETH-T-FMOH</v>
          </cell>
          <cell r="C329" t="str">
            <v>Active</v>
          </cell>
          <cell r="D329" t="str">
            <v>High Impact Africa 2</v>
          </cell>
          <cell r="E329" t="str">
            <v>ETH</v>
          </cell>
          <cell r="F329" t="str">
            <v>Ministry of Health of Ethiopia</v>
          </cell>
        </row>
        <row r="330">
          <cell r="B330" t="str">
            <v>FJI-T-MOH</v>
          </cell>
          <cell r="C330" t="str">
            <v>Active</v>
          </cell>
          <cell r="D330" t="str">
            <v>South East Asia</v>
          </cell>
          <cell r="E330" t="str">
            <v>FJI</v>
          </cell>
          <cell r="F330" t="str">
            <v>Ministry of Health of Fiji</v>
          </cell>
        </row>
        <row r="331">
          <cell r="B331" t="str">
            <v>GAB-304-G01-H</v>
          </cell>
          <cell r="C331" t="str">
            <v>Administratively Closed</v>
          </cell>
          <cell r="D331" t="str">
            <v>Central Africa</v>
          </cell>
          <cell r="E331" t="str">
            <v>GAB</v>
          </cell>
          <cell r="F331" t="str">
            <v>United Nations Development Programme, Gabon</v>
          </cell>
        </row>
        <row r="332">
          <cell r="B332" t="str">
            <v>GAB-404-G02-M</v>
          </cell>
          <cell r="C332" t="str">
            <v>Administratively Closed</v>
          </cell>
          <cell r="D332" t="str">
            <v>Central Africa</v>
          </cell>
          <cell r="E332" t="str">
            <v>GAB</v>
          </cell>
          <cell r="F332" t="str">
            <v>United Nations Development Programme, Gabon</v>
          </cell>
        </row>
        <row r="333">
          <cell r="B333" t="str">
            <v>GAB-506-G03-M</v>
          </cell>
          <cell r="C333" t="str">
            <v>Administratively Closed</v>
          </cell>
          <cell r="D333" t="str">
            <v>Central Africa</v>
          </cell>
          <cell r="E333" t="str">
            <v>GAB</v>
          </cell>
          <cell r="F333" t="str">
            <v>United Nations Development Programme, Gabon</v>
          </cell>
        </row>
        <row r="334">
          <cell r="B334" t="str">
            <v>GAB-509-G04-M</v>
          </cell>
          <cell r="C334" t="str">
            <v>Administratively Closed</v>
          </cell>
          <cell r="D334" t="str">
            <v>Central Africa</v>
          </cell>
          <cell r="E334" t="str">
            <v>GAB</v>
          </cell>
          <cell r="F334" t="str">
            <v>Ministry of Health and Public Hygiene of Gabon</v>
          </cell>
        </row>
        <row r="335">
          <cell r="B335" t="str">
            <v>GAB-809-G05-H</v>
          </cell>
          <cell r="C335" t="str">
            <v>Financial Closure</v>
          </cell>
          <cell r="D335" t="str">
            <v>Central Africa</v>
          </cell>
          <cell r="E335" t="str">
            <v>GAB</v>
          </cell>
          <cell r="F335" t="str">
            <v>Ministry of Health and Public Hygiene of Gabon</v>
          </cell>
        </row>
        <row r="336">
          <cell r="B336" t="str">
            <v>GMB-304-G01-H</v>
          </cell>
          <cell r="C336" t="str">
            <v>Administratively Closed</v>
          </cell>
          <cell r="D336" t="str">
            <v>Western Africa</v>
          </cell>
          <cell r="E336" t="str">
            <v>GMB</v>
          </cell>
          <cell r="F336" t="str">
            <v>National AIDS Secretariat of Gambia</v>
          </cell>
        </row>
        <row r="337">
          <cell r="B337" t="str">
            <v>GMB-304-G02-M</v>
          </cell>
          <cell r="C337" t="str">
            <v>Administratively Closed</v>
          </cell>
          <cell r="D337" t="str">
            <v>Western Africa</v>
          </cell>
          <cell r="E337" t="str">
            <v>GMB</v>
          </cell>
          <cell r="F337" t="str">
            <v>National Malaria Control Program, Ministry of Health of Gambia</v>
          </cell>
        </row>
        <row r="338">
          <cell r="B338" t="str">
            <v>GMB-506-G03-T</v>
          </cell>
          <cell r="C338" t="str">
            <v>Administratively Closed</v>
          </cell>
          <cell r="D338" t="str">
            <v>Western Africa</v>
          </cell>
          <cell r="E338" t="str">
            <v>GMB</v>
          </cell>
          <cell r="F338" t="str">
            <v>National Leprosy and Tubeculosis Program, Ministry of Health of Gambia</v>
          </cell>
        </row>
        <row r="339">
          <cell r="B339" t="str">
            <v>GMB-607-G04-M</v>
          </cell>
          <cell r="C339" t="str">
            <v>Administratively Closed</v>
          </cell>
          <cell r="D339" t="str">
            <v>Western Africa</v>
          </cell>
          <cell r="E339" t="str">
            <v>GMB</v>
          </cell>
          <cell r="F339" t="str">
            <v>National Malaria Control Program, Ministry of Health of Gambia</v>
          </cell>
        </row>
        <row r="340">
          <cell r="B340" t="str">
            <v>GMB-809-G05-H</v>
          </cell>
          <cell r="C340" t="str">
            <v>Active</v>
          </cell>
          <cell r="D340" t="str">
            <v>Western Africa</v>
          </cell>
          <cell r="E340" t="str">
            <v>GMB</v>
          </cell>
          <cell r="F340" t="str">
            <v>National AIDS Secretariat of Gambia</v>
          </cell>
        </row>
        <row r="341">
          <cell r="B341" t="str">
            <v>GMB-809-G06-H</v>
          </cell>
          <cell r="C341" t="str">
            <v>Active</v>
          </cell>
          <cell r="D341" t="str">
            <v>Western Africa</v>
          </cell>
          <cell r="E341" t="str">
            <v>GMB</v>
          </cell>
          <cell r="F341" t="str">
            <v>Actionaid International of the Gambia</v>
          </cell>
        </row>
        <row r="342">
          <cell r="B342" t="str">
            <v>GMB-M-CRS</v>
          </cell>
          <cell r="C342" t="str">
            <v>Active</v>
          </cell>
          <cell r="D342" t="str">
            <v>Western Africa</v>
          </cell>
          <cell r="E342" t="str">
            <v>GMB</v>
          </cell>
          <cell r="F342" t="str">
            <v>Catholic Relief Services - Gambia</v>
          </cell>
        </row>
        <row r="343">
          <cell r="B343" t="str">
            <v>GMB-M-MOH</v>
          </cell>
          <cell r="C343" t="str">
            <v>Active</v>
          </cell>
          <cell r="D343" t="str">
            <v>Western Africa</v>
          </cell>
          <cell r="E343" t="str">
            <v>GMB</v>
          </cell>
          <cell r="F343" t="str">
            <v>National Malaria Control Program, Ministry of Health of Gambia</v>
          </cell>
        </row>
        <row r="344">
          <cell r="B344" t="str">
            <v>GMB-T-MOH</v>
          </cell>
          <cell r="C344" t="str">
            <v>Active</v>
          </cell>
          <cell r="D344" t="str">
            <v>Western Africa</v>
          </cell>
          <cell r="E344" t="str">
            <v>GMB</v>
          </cell>
          <cell r="F344" t="str">
            <v>National Leprosy and Tubeculosis Program, Ministry of Health of Gambia</v>
          </cell>
        </row>
        <row r="345">
          <cell r="B345" t="str">
            <v>GMB-T-MRC</v>
          </cell>
          <cell r="C345" t="str">
            <v>Active</v>
          </cell>
          <cell r="D345" t="str">
            <v>Western Africa</v>
          </cell>
          <cell r="E345" t="str">
            <v>GMB</v>
          </cell>
          <cell r="F345" t="str">
            <v>Medical Research Council</v>
          </cell>
        </row>
        <row r="346">
          <cell r="B346" t="str">
            <v>GEO-202-G01-H-00</v>
          </cell>
          <cell r="C346" t="str">
            <v>Administratively Closed</v>
          </cell>
          <cell r="D346" t="str">
            <v>Eastern Europe and Central Asia</v>
          </cell>
          <cell r="E346" t="str">
            <v>GEO</v>
          </cell>
          <cell r="F346" t="str">
            <v>Georgia Health and Social Projects Implementation Center</v>
          </cell>
        </row>
        <row r="347">
          <cell r="B347" t="str">
            <v>GEO-304-G02-M</v>
          </cell>
          <cell r="C347" t="str">
            <v>Administratively Closed</v>
          </cell>
          <cell r="D347" t="str">
            <v>Eastern Europe and Central Asia</v>
          </cell>
          <cell r="E347" t="str">
            <v>GEO</v>
          </cell>
          <cell r="F347" t="str">
            <v>Georgia Health and Social Projects Implementation Center</v>
          </cell>
        </row>
        <row r="348">
          <cell r="B348" t="str">
            <v>GEO-405-G03-T</v>
          </cell>
          <cell r="C348" t="str">
            <v>Administratively Closed</v>
          </cell>
          <cell r="D348" t="str">
            <v>Eastern Europe and Central Asia</v>
          </cell>
          <cell r="E348" t="str">
            <v>GEO</v>
          </cell>
          <cell r="F348" t="str">
            <v>Georgia Health and Social Projects Implementation Center</v>
          </cell>
        </row>
        <row r="349">
          <cell r="B349" t="str">
            <v>GEO-411-G11-T</v>
          </cell>
          <cell r="C349" t="str">
            <v>Administratively Closed</v>
          </cell>
          <cell r="D349" t="str">
            <v>Eastern Europe and Central Asia</v>
          </cell>
          <cell r="E349" t="str">
            <v>GEO</v>
          </cell>
          <cell r="F349" t="str">
            <v>Global Projects Implementation Center</v>
          </cell>
        </row>
        <row r="350">
          <cell r="B350" t="str">
            <v>GEO-607-G04-M</v>
          </cell>
          <cell r="C350" t="str">
            <v>Administratively Closed</v>
          </cell>
          <cell r="D350" t="str">
            <v>Eastern Europe and Central Asia</v>
          </cell>
          <cell r="E350" t="str">
            <v>GEO</v>
          </cell>
          <cell r="F350" t="str">
            <v>Georgia Health and Social Projects Implementation Center</v>
          </cell>
        </row>
        <row r="351">
          <cell r="B351" t="str">
            <v>GEO-607-G05-T</v>
          </cell>
          <cell r="C351" t="str">
            <v>Administratively Closed</v>
          </cell>
          <cell r="D351" t="str">
            <v>Eastern Europe and Central Asia</v>
          </cell>
          <cell r="E351" t="str">
            <v>GEO</v>
          </cell>
          <cell r="F351" t="str">
            <v>Georgia Health and Social Projects Implementation Center</v>
          </cell>
        </row>
        <row r="352">
          <cell r="B352" t="str">
            <v>GEO-607-G06-H</v>
          </cell>
          <cell r="C352" t="str">
            <v>Administratively Closed</v>
          </cell>
          <cell r="D352" t="str">
            <v>Eastern Europe and Central Asia</v>
          </cell>
          <cell r="E352" t="str">
            <v>GEO</v>
          </cell>
          <cell r="F352" t="str">
            <v>Georgia Health and Social Projects Implementation Center</v>
          </cell>
        </row>
        <row r="353">
          <cell r="B353" t="str">
            <v>GEO-611-G09-M</v>
          </cell>
          <cell r="C353" t="str">
            <v>Administratively Closed</v>
          </cell>
          <cell r="D353" t="str">
            <v>Eastern Europe and Central Asia</v>
          </cell>
          <cell r="E353" t="str">
            <v>GEO</v>
          </cell>
          <cell r="F353" t="str">
            <v>Global Projects Implementation Center</v>
          </cell>
        </row>
        <row r="354">
          <cell r="B354" t="str">
            <v>GEO-611-G10-T</v>
          </cell>
          <cell r="C354" t="str">
            <v>Administratively Closed</v>
          </cell>
          <cell r="D354" t="str">
            <v>Eastern Europe and Central Asia</v>
          </cell>
          <cell r="E354" t="str">
            <v>GEO</v>
          </cell>
          <cell r="F354" t="str">
            <v>Global Projects Implementation Center</v>
          </cell>
        </row>
        <row r="355">
          <cell r="B355" t="str">
            <v>GEO-H-GPIC</v>
          </cell>
          <cell r="C355" t="str">
            <v>Financial Closure</v>
          </cell>
          <cell r="D355" t="str">
            <v>Eastern Europe and Central Asia</v>
          </cell>
          <cell r="E355" t="str">
            <v>GEO</v>
          </cell>
          <cell r="F355" t="str">
            <v>Global Projects Implementation Center</v>
          </cell>
        </row>
        <row r="356">
          <cell r="B356" t="str">
            <v>GEO-H-NCDC</v>
          </cell>
          <cell r="C356" t="str">
            <v>Active</v>
          </cell>
          <cell r="D356" t="str">
            <v>Eastern Europe and Central Asia</v>
          </cell>
          <cell r="E356" t="str">
            <v>GEO</v>
          </cell>
          <cell r="F356" t="str">
            <v>National Center for Disease Control and Public Health, Georgia</v>
          </cell>
        </row>
        <row r="357">
          <cell r="B357" t="str">
            <v>GEO-S10-G07-H</v>
          </cell>
          <cell r="C357" t="str">
            <v>Administratively Closed</v>
          </cell>
          <cell r="D357" t="str">
            <v>Eastern Europe and Central Asia</v>
          </cell>
          <cell r="E357" t="str">
            <v>GEO</v>
          </cell>
          <cell r="F357" t="str">
            <v>Georgia Health and Social Projects Implementation Center</v>
          </cell>
        </row>
        <row r="358">
          <cell r="B358" t="str">
            <v>GEO-T-GPIC</v>
          </cell>
          <cell r="C358" t="str">
            <v>Financial Closure</v>
          </cell>
          <cell r="D358" t="str">
            <v>Eastern Europe and Central Asia</v>
          </cell>
          <cell r="E358" t="str">
            <v>GEO</v>
          </cell>
          <cell r="F358" t="str">
            <v>Global Projects Implementation Center</v>
          </cell>
        </row>
        <row r="359">
          <cell r="B359" t="str">
            <v>GEO-T-NCDC</v>
          </cell>
          <cell r="C359" t="str">
            <v>Active</v>
          </cell>
          <cell r="D359" t="str">
            <v>Eastern Europe and Central Asia</v>
          </cell>
          <cell r="E359" t="str">
            <v>GEO</v>
          </cell>
          <cell r="F359" t="str">
            <v>National Center for Disease Control and Public Health, Georgia</v>
          </cell>
        </row>
        <row r="360">
          <cell r="B360" t="str">
            <v>GHA-M-AGAMal</v>
          </cell>
          <cell r="C360" t="str">
            <v>N.D.</v>
          </cell>
          <cell r="D360" t="str">
            <v>High Impact Africa 1</v>
          </cell>
          <cell r="E360" t="str">
            <v>GHA</v>
          </cell>
          <cell r="F360" t="str">
            <v>Not Defined</v>
          </cell>
        </row>
        <row r="361">
          <cell r="B361" t="str">
            <v>GHA-M-MOH</v>
          </cell>
          <cell r="C361" t="str">
            <v>N.D.</v>
          </cell>
          <cell r="D361" t="str">
            <v>High Impact Africa 1</v>
          </cell>
          <cell r="E361" t="str">
            <v>GHA</v>
          </cell>
          <cell r="F361" t="str">
            <v>Not Defined</v>
          </cell>
        </row>
        <row r="362">
          <cell r="B362" t="str">
            <v>GHN-102-G01-H-00</v>
          </cell>
          <cell r="C362" t="str">
            <v>Administratively Closed</v>
          </cell>
          <cell r="D362" t="str">
            <v>High Impact Africa 1</v>
          </cell>
          <cell r="E362" t="str">
            <v>GHA</v>
          </cell>
          <cell r="F362" t="str">
            <v>Ministry of Health of Ghana</v>
          </cell>
        </row>
        <row r="363">
          <cell r="B363" t="str">
            <v>GHN-102-G02-T-00</v>
          </cell>
          <cell r="C363" t="str">
            <v>Administratively Closed</v>
          </cell>
          <cell r="D363" t="str">
            <v>High Impact Africa 1</v>
          </cell>
          <cell r="E363" t="str">
            <v>GHA</v>
          </cell>
          <cell r="F363" t="str">
            <v>Ministry of Health of Ghana</v>
          </cell>
        </row>
        <row r="364">
          <cell r="B364" t="str">
            <v>GHN-202-G03-M-00</v>
          </cell>
          <cell r="C364" t="str">
            <v>Administratively Closed</v>
          </cell>
          <cell r="D364" t="str">
            <v>High Impact Africa 1</v>
          </cell>
          <cell r="E364" t="str">
            <v>GHA</v>
          </cell>
          <cell r="F364" t="str">
            <v>Ministry of Health of Ghana</v>
          </cell>
        </row>
        <row r="365">
          <cell r="B365" t="str">
            <v>GHN-405-G04-M</v>
          </cell>
          <cell r="C365" t="str">
            <v>Administratively Closed</v>
          </cell>
          <cell r="D365" t="str">
            <v>High Impact Africa 1</v>
          </cell>
          <cell r="E365" t="str">
            <v>GHA</v>
          </cell>
          <cell r="F365" t="str">
            <v>Ministry of Health of Ghana</v>
          </cell>
        </row>
        <row r="366">
          <cell r="B366" t="str">
            <v>GHN-506-G05-T</v>
          </cell>
          <cell r="C366" t="str">
            <v>Financial Closure</v>
          </cell>
          <cell r="D366" t="str">
            <v>High Impact Africa 1</v>
          </cell>
          <cell r="E366" t="str">
            <v>GHA</v>
          </cell>
          <cell r="F366" t="str">
            <v>Ministry of Health of Ghana</v>
          </cell>
        </row>
        <row r="367">
          <cell r="B367" t="str">
            <v>GHN-506-G06-H</v>
          </cell>
          <cell r="C367" t="str">
            <v>Administratively Closed</v>
          </cell>
          <cell r="D367" t="str">
            <v>High Impact Africa 1</v>
          </cell>
          <cell r="E367" t="str">
            <v>GHA</v>
          </cell>
          <cell r="F367" t="str">
            <v>Ministry of Health of Ghana</v>
          </cell>
        </row>
        <row r="368">
          <cell r="B368" t="str">
            <v>GHN-809-G07-M</v>
          </cell>
          <cell r="C368" t="str">
            <v>Administratively Closed</v>
          </cell>
          <cell r="D368" t="str">
            <v>High Impact Africa 1</v>
          </cell>
          <cell r="E368" t="str">
            <v>GHA</v>
          </cell>
          <cell r="F368" t="str">
            <v>Ministry of Health of Ghana</v>
          </cell>
        </row>
        <row r="369">
          <cell r="B369" t="str">
            <v>GHN-809-G08-M</v>
          </cell>
          <cell r="C369" t="str">
            <v>Active</v>
          </cell>
          <cell r="D369" t="str">
            <v>High Impact Africa 1</v>
          </cell>
          <cell r="E369" t="str">
            <v>GHA</v>
          </cell>
          <cell r="F369" t="str">
            <v>AngloGold Ashanti Malaria Control Limited</v>
          </cell>
        </row>
        <row r="370">
          <cell r="B370" t="str">
            <v>GHN-809-G09-H</v>
          </cell>
          <cell r="C370" t="str">
            <v>Active</v>
          </cell>
          <cell r="D370" t="str">
            <v>High Impact Africa 1</v>
          </cell>
          <cell r="E370" t="str">
            <v>GHA</v>
          </cell>
          <cell r="F370" t="str">
            <v>Adventist Development and Relief Agency</v>
          </cell>
        </row>
        <row r="371">
          <cell r="B371" t="str">
            <v>GHN-809-G10-H</v>
          </cell>
          <cell r="C371" t="str">
            <v>Active</v>
          </cell>
          <cell r="D371" t="str">
            <v>High Impact Africa 1</v>
          </cell>
          <cell r="E371" t="str">
            <v>GHA</v>
          </cell>
          <cell r="F371" t="str">
            <v>Planned Parenthood Association of Ghana</v>
          </cell>
        </row>
        <row r="372">
          <cell r="B372" t="str">
            <v>GHN-809-G11-H</v>
          </cell>
          <cell r="C372" t="str">
            <v>Active</v>
          </cell>
          <cell r="D372" t="str">
            <v>High Impact Africa 1</v>
          </cell>
          <cell r="E372" t="str">
            <v>GHA</v>
          </cell>
          <cell r="F372" t="str">
            <v>Ministry of Health of Ghana</v>
          </cell>
        </row>
        <row r="373">
          <cell r="B373" t="str">
            <v>GHN-809-G12-H</v>
          </cell>
          <cell r="C373" t="str">
            <v>Active</v>
          </cell>
          <cell r="D373" t="str">
            <v>High Impact Africa 1</v>
          </cell>
          <cell r="E373" t="str">
            <v>GHA</v>
          </cell>
          <cell r="F373" t="str">
            <v>Ghana AIDS Commission</v>
          </cell>
        </row>
        <row r="374">
          <cell r="B374" t="str">
            <v>GHN-M-MOH</v>
          </cell>
          <cell r="C374" t="str">
            <v>Active</v>
          </cell>
          <cell r="D374" t="str">
            <v>High Impact Africa 1</v>
          </cell>
          <cell r="E374" t="str">
            <v>GHA</v>
          </cell>
          <cell r="F374" t="str">
            <v>Ministry of Health of Ghana</v>
          </cell>
        </row>
        <row r="375">
          <cell r="B375" t="str">
            <v>GHN-T-MOH</v>
          </cell>
          <cell r="C375" t="str">
            <v>Active</v>
          </cell>
          <cell r="D375" t="str">
            <v>High Impact Africa 1</v>
          </cell>
          <cell r="E375" t="str">
            <v>GHA</v>
          </cell>
          <cell r="F375" t="str">
            <v>Ministry of Health of Ghana</v>
          </cell>
        </row>
        <row r="376">
          <cell r="B376" t="str">
            <v>GUA-304-G01-H</v>
          </cell>
          <cell r="C376" t="str">
            <v>Administratively Closed</v>
          </cell>
          <cell r="D376" t="str">
            <v>Latin America and Caribbean</v>
          </cell>
          <cell r="E376" t="str">
            <v>GTM</v>
          </cell>
          <cell r="F376" t="str">
            <v>Fundación Visión Mundial Guatemala</v>
          </cell>
        </row>
        <row r="377">
          <cell r="B377" t="str">
            <v>GUA-311-G05-H</v>
          </cell>
          <cell r="C377" t="str">
            <v>Active</v>
          </cell>
          <cell r="D377" t="str">
            <v>Latin America and Caribbean</v>
          </cell>
          <cell r="E377" t="str">
            <v>GTM</v>
          </cell>
          <cell r="F377" t="str">
            <v>Humanist Institute for Development Cooperation, HQ</v>
          </cell>
        </row>
        <row r="378">
          <cell r="B378" t="str">
            <v>GUA-311-G06-H</v>
          </cell>
          <cell r="C378" t="str">
            <v>Active</v>
          </cell>
          <cell r="D378" t="str">
            <v>Latin America and Caribbean</v>
          </cell>
          <cell r="E378" t="str">
            <v>GTM</v>
          </cell>
          <cell r="F378" t="str">
            <v>Ministry of Health of Guatemala</v>
          </cell>
        </row>
        <row r="379">
          <cell r="B379" t="str">
            <v>GUA-405-G02-M</v>
          </cell>
          <cell r="C379" t="str">
            <v>Administratively Closed</v>
          </cell>
          <cell r="D379" t="str">
            <v>Latin America and Caribbean</v>
          </cell>
          <cell r="E379" t="str">
            <v>GTM</v>
          </cell>
          <cell r="F379" t="str">
            <v>Fundación Visión Mundial Guatemala</v>
          </cell>
        </row>
        <row r="380">
          <cell r="B380" t="str">
            <v>GUA-607-G03-T</v>
          </cell>
          <cell r="C380" t="str">
            <v>Administratively Closed</v>
          </cell>
          <cell r="D380" t="str">
            <v>Latin America and Caribbean</v>
          </cell>
          <cell r="E380" t="str">
            <v>GTM</v>
          </cell>
          <cell r="F380" t="str">
            <v>Fundación Visión Mundial Guatemala</v>
          </cell>
        </row>
        <row r="381">
          <cell r="B381" t="str">
            <v>GUA-610-G04-T</v>
          </cell>
          <cell r="C381" t="str">
            <v>Active</v>
          </cell>
          <cell r="D381" t="str">
            <v>Latin America and Caribbean</v>
          </cell>
          <cell r="E381" t="str">
            <v>GTM</v>
          </cell>
          <cell r="F381" t="str">
            <v>Ministry of Health of Guatemala</v>
          </cell>
        </row>
        <row r="382">
          <cell r="B382" t="str">
            <v>GUA-M-MSPAS</v>
          </cell>
          <cell r="C382" t="str">
            <v>Active</v>
          </cell>
          <cell r="D382" t="str">
            <v>Latin America and Caribbean</v>
          </cell>
          <cell r="E382" t="str">
            <v>GTM</v>
          </cell>
          <cell r="F382" t="str">
            <v>Ministry of Health of Guatemala</v>
          </cell>
        </row>
        <row r="383">
          <cell r="B383" t="str">
            <v>GIN-202-G01-H-00</v>
          </cell>
          <cell r="C383" t="str">
            <v>Financial Closure</v>
          </cell>
          <cell r="D383" t="str">
            <v>Western Africa</v>
          </cell>
          <cell r="E383" t="str">
            <v>GIN</v>
          </cell>
          <cell r="F383" t="str">
            <v>Ministry of Public Health of Guinea</v>
          </cell>
        </row>
        <row r="384">
          <cell r="B384" t="str">
            <v>GIN-202-G02-M-00</v>
          </cell>
          <cell r="C384" t="str">
            <v>Financial Closure</v>
          </cell>
          <cell r="D384" t="str">
            <v>Western Africa</v>
          </cell>
          <cell r="E384" t="str">
            <v>GIN</v>
          </cell>
          <cell r="F384" t="str">
            <v>Ministry of Public Health of Guinea</v>
          </cell>
        </row>
        <row r="385">
          <cell r="B385" t="str">
            <v>GIN-506-G03-T</v>
          </cell>
          <cell r="C385" t="str">
            <v>Administratively Closed</v>
          </cell>
          <cell r="D385" t="str">
            <v>Western Africa</v>
          </cell>
          <cell r="E385" t="str">
            <v>GIN</v>
          </cell>
          <cell r="F385" t="str">
            <v>Ministry of Public Health of Guinea</v>
          </cell>
        </row>
        <row r="386">
          <cell r="B386" t="str">
            <v>GIN-607-G04-H</v>
          </cell>
          <cell r="C386" t="str">
            <v>Financial Closure</v>
          </cell>
          <cell r="D386" t="str">
            <v>Western Africa</v>
          </cell>
          <cell r="E386" t="str">
            <v>GIN</v>
          </cell>
          <cell r="F386" t="str">
            <v>Ministry of Public Health of Guinea</v>
          </cell>
        </row>
        <row r="387">
          <cell r="B387" t="str">
            <v>GIN-607-G05-M</v>
          </cell>
          <cell r="C387" t="str">
            <v>Administratively Closed</v>
          </cell>
          <cell r="D387" t="str">
            <v>Western Africa</v>
          </cell>
          <cell r="E387" t="str">
            <v>GIN</v>
          </cell>
          <cell r="F387" t="str">
            <v>Ministry of Public Health of Guinea</v>
          </cell>
        </row>
        <row r="388">
          <cell r="B388" t="str">
            <v>GIN-H-CNLS</v>
          </cell>
          <cell r="C388" t="str">
            <v>Active</v>
          </cell>
          <cell r="D388" t="str">
            <v>Western Africa</v>
          </cell>
          <cell r="E388" t="str">
            <v>GIN</v>
          </cell>
          <cell r="F388" t="str">
            <v>National AIDS Council of Guinea</v>
          </cell>
        </row>
        <row r="389">
          <cell r="B389" t="str">
            <v>GIN-H-GIZ</v>
          </cell>
          <cell r="C389" t="str">
            <v>Financial Closure</v>
          </cell>
          <cell r="D389" t="str">
            <v>Western Africa</v>
          </cell>
          <cell r="E389" t="str">
            <v>GIN</v>
          </cell>
          <cell r="F389" t="str">
            <v>Deutsche Gesellschaft für Internationale Zusammenarbeit</v>
          </cell>
        </row>
        <row r="390">
          <cell r="B390" t="str">
            <v>GIN-M-CRS</v>
          </cell>
          <cell r="C390" t="str">
            <v>Active</v>
          </cell>
          <cell r="D390" t="str">
            <v>Western Africa</v>
          </cell>
          <cell r="E390" t="str">
            <v>GIN</v>
          </cell>
          <cell r="F390" t="str">
            <v>Catholic Relief Services USCCB - Guinea</v>
          </cell>
        </row>
        <row r="391">
          <cell r="B391" t="str">
            <v>GIN-M-PNLP</v>
          </cell>
          <cell r="C391" t="str">
            <v>Financial Closure</v>
          </cell>
          <cell r="D391" t="str">
            <v>Western Africa</v>
          </cell>
          <cell r="E391" t="str">
            <v>GIN</v>
          </cell>
          <cell r="F391" t="str">
            <v>Ministry of Public Health of Guinea</v>
          </cell>
        </row>
        <row r="392">
          <cell r="B392" t="str">
            <v>GIN-S-MoH</v>
          </cell>
          <cell r="C392" t="str">
            <v>Administratively Closed</v>
          </cell>
          <cell r="D392" t="str">
            <v>Western Africa</v>
          </cell>
          <cell r="E392" t="str">
            <v>GIN</v>
          </cell>
          <cell r="F392" t="str">
            <v>Not Defined</v>
          </cell>
        </row>
        <row r="393">
          <cell r="B393" t="str">
            <v>GIN-T-MSHP</v>
          </cell>
          <cell r="C393" t="str">
            <v>Financial Closure</v>
          </cell>
          <cell r="D393" t="str">
            <v>Western Africa</v>
          </cell>
          <cell r="E393" t="str">
            <v>GIN</v>
          </cell>
          <cell r="F393" t="str">
            <v>Ministry of Public Health of Guinea</v>
          </cell>
        </row>
        <row r="394">
          <cell r="B394" t="str">
            <v>GIN-T-PSI</v>
          </cell>
          <cell r="C394" t="str">
            <v>Active</v>
          </cell>
          <cell r="D394" t="str">
            <v>Western Africa</v>
          </cell>
          <cell r="E394" t="str">
            <v>GIN</v>
          </cell>
          <cell r="F394" t="str">
            <v>Population Services International, USA</v>
          </cell>
        </row>
        <row r="395">
          <cell r="B395" t="str">
            <v>GNB-304-G01-T</v>
          </cell>
          <cell r="C395" t="str">
            <v>Administratively Closed</v>
          </cell>
          <cell r="D395" t="str">
            <v>Western Africa</v>
          </cell>
          <cell r="E395" t="str">
            <v>GNB</v>
          </cell>
          <cell r="F395" t="str">
            <v>United Nations Development Programme, Guinea-Bissau</v>
          </cell>
        </row>
        <row r="396">
          <cell r="B396" t="str">
            <v>GNB-309-G06-T</v>
          </cell>
          <cell r="C396" t="str">
            <v>Administratively Closed</v>
          </cell>
          <cell r="D396" t="str">
            <v>Western Africa</v>
          </cell>
          <cell r="E396" t="str">
            <v>GNB</v>
          </cell>
          <cell r="F396" t="str">
            <v>Ministry of Health of Guinea-Bissau</v>
          </cell>
        </row>
        <row r="397">
          <cell r="B397" t="str">
            <v>GNB-404-G02-H</v>
          </cell>
          <cell r="C397" t="str">
            <v>Administratively Closed</v>
          </cell>
          <cell r="D397" t="str">
            <v>Western Africa</v>
          </cell>
          <cell r="E397" t="str">
            <v>GNB</v>
          </cell>
          <cell r="F397" t="str">
            <v>United Nations Development Programme, Guinea-Bissau</v>
          </cell>
        </row>
        <row r="398">
          <cell r="B398" t="str">
            <v>GNB-404-G03-M</v>
          </cell>
          <cell r="C398" t="str">
            <v>Administratively Closed</v>
          </cell>
          <cell r="D398" t="str">
            <v>Western Africa</v>
          </cell>
          <cell r="E398" t="str">
            <v>GNB</v>
          </cell>
          <cell r="F398" t="str">
            <v>United Nations Development Programme, Guinea-Bissau</v>
          </cell>
        </row>
        <row r="399">
          <cell r="B399" t="str">
            <v>GNB-409-G07-H</v>
          </cell>
          <cell r="C399" t="str">
            <v>Administratively Closed</v>
          </cell>
          <cell r="D399" t="str">
            <v>Western Africa</v>
          </cell>
          <cell r="E399" t="str">
            <v>GNB</v>
          </cell>
          <cell r="F399" t="str">
            <v>Ministry of Health of Guinea-Bissau</v>
          </cell>
        </row>
        <row r="400">
          <cell r="B400" t="str">
            <v>GNB-409-G08-M</v>
          </cell>
          <cell r="C400" t="str">
            <v>Administratively Closed</v>
          </cell>
          <cell r="D400" t="str">
            <v>Western Africa</v>
          </cell>
          <cell r="E400" t="str">
            <v>GNB</v>
          </cell>
          <cell r="F400" t="str">
            <v>Ministry of Health of Guinea-Bissau</v>
          </cell>
        </row>
        <row r="401">
          <cell r="B401" t="str">
            <v>GNB-607-G04-M</v>
          </cell>
          <cell r="C401" t="str">
            <v>Administratively Closed</v>
          </cell>
          <cell r="D401" t="str">
            <v>Western Africa</v>
          </cell>
          <cell r="E401" t="str">
            <v>GNB</v>
          </cell>
          <cell r="F401" t="str">
            <v>Ministry of Health of Guinea-Bissau</v>
          </cell>
        </row>
        <row r="402">
          <cell r="B402" t="str">
            <v>GNB-708-G05-H</v>
          </cell>
          <cell r="C402" t="str">
            <v>Active</v>
          </cell>
          <cell r="D402" t="str">
            <v>Western Africa</v>
          </cell>
          <cell r="E402" t="str">
            <v>GNB</v>
          </cell>
          <cell r="F402" t="str">
            <v>National Secretariat to Fight AIDS</v>
          </cell>
        </row>
        <row r="403">
          <cell r="B403" t="str">
            <v>GNB-809-G09-S</v>
          </cell>
          <cell r="C403" t="str">
            <v>Financial Closure</v>
          </cell>
          <cell r="D403" t="str">
            <v>Western Africa</v>
          </cell>
          <cell r="E403" t="str">
            <v>GNB</v>
          </cell>
          <cell r="F403" t="str">
            <v>Ministry of Health of Guinea-Bissau</v>
          </cell>
        </row>
        <row r="404">
          <cell r="B404" t="str">
            <v>GNB-910-G11-T</v>
          </cell>
          <cell r="C404" t="str">
            <v>Financial Closure</v>
          </cell>
          <cell r="D404" t="str">
            <v>Western Africa</v>
          </cell>
          <cell r="E404" t="str">
            <v>GNB</v>
          </cell>
          <cell r="F404" t="str">
            <v>Ministry of Health of Guinea-Bissau</v>
          </cell>
        </row>
        <row r="405">
          <cell r="B405" t="str">
            <v>GNB-913-G13-T</v>
          </cell>
          <cell r="C405" t="str">
            <v>Active</v>
          </cell>
          <cell r="D405" t="str">
            <v>Western Africa</v>
          </cell>
          <cell r="E405" t="str">
            <v>GNB</v>
          </cell>
          <cell r="F405" t="str">
            <v>United Nations Development Programme, Guinea-Bissau</v>
          </cell>
        </row>
        <row r="406">
          <cell r="B406" t="str">
            <v>GNB-M-MOH</v>
          </cell>
          <cell r="C406" t="str">
            <v>Financial Closure</v>
          </cell>
          <cell r="D406" t="str">
            <v>Western Africa</v>
          </cell>
          <cell r="E406" t="str">
            <v>GNB</v>
          </cell>
          <cell r="F406" t="str">
            <v>Ministry of Health of Guinea-Bissau</v>
          </cell>
        </row>
        <row r="407">
          <cell r="B407" t="str">
            <v>GNB-M-UNDP</v>
          </cell>
          <cell r="C407" t="str">
            <v>Active</v>
          </cell>
          <cell r="D407" t="str">
            <v>Western Africa</v>
          </cell>
          <cell r="E407" t="str">
            <v>GNB</v>
          </cell>
          <cell r="F407" t="str">
            <v>United Nations Development Programme, Guinea-Bissau</v>
          </cell>
        </row>
        <row r="408">
          <cell r="B408" t="str">
            <v>GYA-304-G01-H</v>
          </cell>
          <cell r="C408" t="str">
            <v>Active</v>
          </cell>
          <cell r="D408" t="str">
            <v>Latin America and Caribbean</v>
          </cell>
          <cell r="E408" t="str">
            <v>GUY</v>
          </cell>
          <cell r="F408" t="str">
            <v>Ministry of Health of Guyana</v>
          </cell>
        </row>
        <row r="409">
          <cell r="B409" t="str">
            <v>GYA-304-G02-M</v>
          </cell>
          <cell r="C409" t="str">
            <v>Administratively Closed</v>
          </cell>
          <cell r="D409" t="str">
            <v>Latin America and Caribbean</v>
          </cell>
          <cell r="E409" t="str">
            <v>GUY</v>
          </cell>
          <cell r="F409" t="str">
            <v>Ministry of Health of Guyana</v>
          </cell>
        </row>
        <row r="410">
          <cell r="B410" t="str">
            <v>GYA-405-G03-T</v>
          </cell>
          <cell r="C410" t="str">
            <v>Administratively Closed</v>
          </cell>
          <cell r="D410" t="str">
            <v>Latin America and Caribbean</v>
          </cell>
          <cell r="E410" t="str">
            <v>GUY</v>
          </cell>
          <cell r="F410" t="str">
            <v>Ministry of Health of Guyana</v>
          </cell>
        </row>
        <row r="411">
          <cell r="B411" t="str">
            <v>GYA-708-G04-M</v>
          </cell>
          <cell r="C411" t="str">
            <v>Administratively Closed</v>
          </cell>
          <cell r="D411" t="str">
            <v>Latin America and Caribbean</v>
          </cell>
          <cell r="E411" t="str">
            <v>GUY</v>
          </cell>
          <cell r="F411" t="str">
            <v>Ministry of Health of Guyana</v>
          </cell>
        </row>
        <row r="412">
          <cell r="B412" t="str">
            <v>GYA-809-G05-S</v>
          </cell>
          <cell r="C412" t="str">
            <v>Administratively Closed</v>
          </cell>
          <cell r="D412" t="str">
            <v>Latin America and Caribbean</v>
          </cell>
          <cell r="E412" t="str">
            <v>GUY</v>
          </cell>
          <cell r="F412" t="str">
            <v>Ministry of Health of Guyana</v>
          </cell>
        </row>
        <row r="413">
          <cell r="B413" t="str">
            <v>GYA-810-G06-T</v>
          </cell>
          <cell r="C413" t="str">
            <v>Active</v>
          </cell>
          <cell r="D413" t="str">
            <v>Latin America and Caribbean</v>
          </cell>
          <cell r="E413" t="str">
            <v>GUY</v>
          </cell>
          <cell r="F413" t="str">
            <v>Ministry of Health of Guyana</v>
          </cell>
        </row>
        <row r="414">
          <cell r="B414" t="str">
            <v>GYA-M-MOH</v>
          </cell>
          <cell r="C414" t="str">
            <v>Active</v>
          </cell>
          <cell r="D414" t="str">
            <v>Latin America and Caribbean</v>
          </cell>
          <cell r="E414" t="str">
            <v>GUY</v>
          </cell>
          <cell r="F414" t="str">
            <v>Ministry of Health of Guyana</v>
          </cell>
        </row>
        <row r="415">
          <cell r="B415" t="str">
            <v>HTI-102-G01-H-00</v>
          </cell>
          <cell r="C415" t="str">
            <v>Administratively Closed</v>
          </cell>
          <cell r="D415" t="str">
            <v>Latin America and Caribbean</v>
          </cell>
          <cell r="E415" t="str">
            <v>HTI</v>
          </cell>
          <cell r="F415" t="str">
            <v>Fondation SOGEBANK</v>
          </cell>
        </row>
        <row r="416">
          <cell r="B416" t="str">
            <v>HTI-102-G02-H-00</v>
          </cell>
          <cell r="C416" t="str">
            <v>Administratively Closed</v>
          </cell>
          <cell r="D416" t="str">
            <v>Latin America and Caribbean</v>
          </cell>
          <cell r="E416" t="str">
            <v>HTI</v>
          </cell>
          <cell r="F416" t="str">
            <v>United Nations Development Programme, Haiti</v>
          </cell>
        </row>
        <row r="417">
          <cell r="B417" t="str">
            <v>HTI-102-G09-H</v>
          </cell>
          <cell r="C417" t="str">
            <v>Active</v>
          </cell>
          <cell r="D417" t="str">
            <v>Latin America and Caribbean</v>
          </cell>
          <cell r="E417" t="str">
            <v>HTI</v>
          </cell>
          <cell r="F417" t="str">
            <v>United Nations Development Programme, Haiti</v>
          </cell>
        </row>
        <row r="418">
          <cell r="B418" t="str">
            <v>HTI-304-G03-M</v>
          </cell>
          <cell r="C418" t="str">
            <v>Administratively Closed</v>
          </cell>
          <cell r="D418" t="str">
            <v>Latin America and Caribbean</v>
          </cell>
          <cell r="E418" t="str">
            <v>HTI</v>
          </cell>
          <cell r="F418" t="str">
            <v>Fondation SOGEBANK</v>
          </cell>
        </row>
        <row r="419">
          <cell r="B419" t="str">
            <v>HTI-304-G04-T</v>
          </cell>
          <cell r="C419" t="str">
            <v>Administratively Closed</v>
          </cell>
          <cell r="D419" t="str">
            <v>Latin America and Caribbean</v>
          </cell>
          <cell r="E419" t="str">
            <v>HTI</v>
          </cell>
          <cell r="F419" t="str">
            <v>Fondation SOGEBANK</v>
          </cell>
        </row>
        <row r="420">
          <cell r="B420" t="str">
            <v>HTI-506-G05-H</v>
          </cell>
          <cell r="C420" t="str">
            <v>Administratively Closed</v>
          </cell>
          <cell r="D420" t="str">
            <v>Latin America and Caribbean</v>
          </cell>
          <cell r="E420" t="str">
            <v>HTI</v>
          </cell>
          <cell r="F420" t="str">
            <v>Fondation SOGEBANK</v>
          </cell>
        </row>
        <row r="421">
          <cell r="B421" t="str">
            <v>HTI-708-G06-H</v>
          </cell>
          <cell r="C421" t="str">
            <v>Administratively Closed</v>
          </cell>
          <cell r="D421" t="str">
            <v>Latin America and Caribbean</v>
          </cell>
          <cell r="E421" t="str">
            <v>HTI</v>
          </cell>
          <cell r="F421" t="str">
            <v>Fondation SOGEBANK</v>
          </cell>
        </row>
        <row r="422">
          <cell r="B422" t="str">
            <v>HTI-811-G07-M</v>
          </cell>
          <cell r="C422" t="str">
            <v>Active</v>
          </cell>
          <cell r="D422" t="str">
            <v>Latin America and Caribbean</v>
          </cell>
          <cell r="E422" t="str">
            <v>HTI</v>
          </cell>
          <cell r="F422" t="str">
            <v>Population Services International, Haiti</v>
          </cell>
        </row>
        <row r="423">
          <cell r="B423" t="str">
            <v>HTI-911-G08-T</v>
          </cell>
          <cell r="C423" t="str">
            <v>Active</v>
          </cell>
          <cell r="D423" t="str">
            <v>Latin America and Caribbean</v>
          </cell>
          <cell r="E423" t="str">
            <v>HTI</v>
          </cell>
          <cell r="F423" t="str">
            <v>United Nations Development Programme, Haiti</v>
          </cell>
        </row>
        <row r="424">
          <cell r="B424" t="str">
            <v>HND-102-G01-H-00</v>
          </cell>
          <cell r="C424" t="str">
            <v>Administratively Closed</v>
          </cell>
          <cell r="D424" t="str">
            <v>Latin America and Caribbean</v>
          </cell>
          <cell r="E424" t="str">
            <v>HND</v>
          </cell>
          <cell r="F424" t="str">
            <v>United Nations Development Programme, Honduras</v>
          </cell>
        </row>
        <row r="425">
          <cell r="B425" t="str">
            <v>HND-102-G02-T-00</v>
          </cell>
          <cell r="C425" t="str">
            <v>Administratively Closed</v>
          </cell>
          <cell r="D425" t="str">
            <v>Latin America and Caribbean</v>
          </cell>
          <cell r="E425" t="str">
            <v>HND</v>
          </cell>
          <cell r="F425" t="str">
            <v>United Nations Development Programme, Honduras</v>
          </cell>
        </row>
        <row r="426">
          <cell r="B426" t="str">
            <v>HND-102-G03-M-00</v>
          </cell>
          <cell r="C426" t="str">
            <v>Administratively Closed</v>
          </cell>
          <cell r="D426" t="str">
            <v>Latin America and Caribbean</v>
          </cell>
          <cell r="E426" t="str">
            <v>HND</v>
          </cell>
          <cell r="F426" t="str">
            <v>United Nations Development Programme, Honduras</v>
          </cell>
        </row>
        <row r="427">
          <cell r="B427" t="str">
            <v>HND-102-G04-H-00</v>
          </cell>
          <cell r="C427" t="str">
            <v>Administratively Closed</v>
          </cell>
          <cell r="D427" t="str">
            <v>Latin America and Caribbean</v>
          </cell>
          <cell r="E427" t="str">
            <v>HND</v>
          </cell>
          <cell r="F427" t="str">
            <v>Cooperative Housing Foundation, Honduras</v>
          </cell>
        </row>
        <row r="428">
          <cell r="B428" t="str">
            <v>HND-102-G05-M-00</v>
          </cell>
          <cell r="C428" t="str">
            <v>Active</v>
          </cell>
          <cell r="D428" t="str">
            <v>Latin America and Caribbean</v>
          </cell>
          <cell r="E428" t="str">
            <v>HND</v>
          </cell>
          <cell r="F428" t="str">
            <v>Cooperative Housing Foundation, Honduras</v>
          </cell>
        </row>
        <row r="429">
          <cell r="B429" t="str">
            <v>HND-H-CHF</v>
          </cell>
          <cell r="C429" t="str">
            <v>Active</v>
          </cell>
          <cell r="D429" t="str">
            <v>Latin America and Caribbean</v>
          </cell>
          <cell r="E429" t="str">
            <v>HND</v>
          </cell>
          <cell r="F429" t="str">
            <v>Cooperative Housing Foundation, Honduras</v>
          </cell>
        </row>
        <row r="430">
          <cell r="B430" t="str">
            <v>HND-M-CHF</v>
          </cell>
          <cell r="C430" t="str">
            <v>Active</v>
          </cell>
          <cell r="D430" t="str">
            <v>Latin America and Caribbean</v>
          </cell>
          <cell r="E430" t="str">
            <v>HND</v>
          </cell>
          <cell r="F430" t="str">
            <v>Cooperative Housing Foundation, Honduras</v>
          </cell>
        </row>
        <row r="431">
          <cell r="B431" t="str">
            <v>HND-T-UECFSS</v>
          </cell>
          <cell r="C431" t="str">
            <v>Active</v>
          </cell>
          <cell r="D431" t="str">
            <v>Latin America and Caribbean</v>
          </cell>
          <cell r="E431" t="str">
            <v>HND</v>
          </cell>
          <cell r="F431" t="str">
            <v>Ministry of Health of Honduras</v>
          </cell>
        </row>
        <row r="432">
          <cell r="B432" t="str">
            <v>IDA-102-G01-T-00</v>
          </cell>
          <cell r="C432" t="str">
            <v>Administratively Closed</v>
          </cell>
          <cell r="D432" t="str">
            <v>High Impact Asia</v>
          </cell>
          <cell r="E432" t="str">
            <v>IND</v>
          </cell>
          <cell r="F432" t="str">
            <v>Department of Economic Affairs, Ministry of Finance of India</v>
          </cell>
        </row>
        <row r="433">
          <cell r="B433" t="str">
            <v>IDA-202-G02-H-00</v>
          </cell>
          <cell r="C433" t="str">
            <v>Active</v>
          </cell>
          <cell r="D433" t="str">
            <v>High Impact Asia</v>
          </cell>
          <cell r="E433" t="str">
            <v>IND</v>
          </cell>
          <cell r="F433" t="str">
            <v>Department of AIDS Control, Ministry of Health and Family Welfare of India</v>
          </cell>
        </row>
        <row r="434">
          <cell r="B434" t="str">
            <v>IDA-202-G03-T-00</v>
          </cell>
          <cell r="C434" t="str">
            <v>Administratively Closed</v>
          </cell>
          <cell r="D434" t="str">
            <v>High Impact Asia</v>
          </cell>
          <cell r="E434" t="str">
            <v>IND</v>
          </cell>
          <cell r="F434" t="str">
            <v>Central TB Division, Directorate General Health Services, India</v>
          </cell>
        </row>
        <row r="435">
          <cell r="B435" t="str">
            <v>IDA-202-G19-H</v>
          </cell>
          <cell r="C435" t="str">
            <v>Active</v>
          </cell>
          <cell r="D435" t="str">
            <v>High Impact Asia</v>
          </cell>
          <cell r="E435" t="str">
            <v>IND</v>
          </cell>
          <cell r="F435" t="str">
            <v>IL&amp;FS Education &amp; Technology Services Ltd.</v>
          </cell>
        </row>
        <row r="436">
          <cell r="B436" t="str">
            <v>IDA-304-G04-C</v>
          </cell>
          <cell r="C436" t="str">
            <v>Administratively Closed</v>
          </cell>
          <cell r="D436" t="str">
            <v>High Impact Asia</v>
          </cell>
          <cell r="E436" t="str">
            <v>IND</v>
          </cell>
          <cell r="F436" t="str">
            <v>Department of Economic Affairs, Ministry of Finance of India</v>
          </cell>
        </row>
        <row r="437">
          <cell r="B437" t="str">
            <v>IDA-405-G05-H</v>
          </cell>
          <cell r="C437" t="str">
            <v>Administratively Closed</v>
          </cell>
          <cell r="D437" t="str">
            <v>High Impact Asia</v>
          </cell>
          <cell r="E437" t="str">
            <v>IND</v>
          </cell>
          <cell r="F437" t="str">
            <v>Population Foundation of India</v>
          </cell>
        </row>
        <row r="438">
          <cell r="B438" t="str">
            <v>IDA-405-G06-H</v>
          </cell>
          <cell r="C438" t="str">
            <v>Active</v>
          </cell>
          <cell r="D438" t="str">
            <v>High Impact Asia</v>
          </cell>
          <cell r="E438" t="str">
            <v>IND</v>
          </cell>
          <cell r="F438" t="str">
            <v>Department of AIDS Control, Ministry of Health and Family Welfare of India</v>
          </cell>
        </row>
        <row r="439">
          <cell r="B439" t="str">
            <v>IDA-405-G07-M</v>
          </cell>
          <cell r="C439" t="str">
            <v>Financial Closure</v>
          </cell>
          <cell r="D439" t="str">
            <v>High Impact Asia</v>
          </cell>
          <cell r="E439" t="str">
            <v>IND</v>
          </cell>
          <cell r="F439" t="str">
            <v>Department of Economic Affairs, Ministry of Finance of India</v>
          </cell>
        </row>
        <row r="440">
          <cell r="B440" t="str">
            <v>IDA-405-G08-T</v>
          </cell>
          <cell r="C440" t="str">
            <v>Administratively Closed</v>
          </cell>
          <cell r="D440" t="str">
            <v>High Impact Asia</v>
          </cell>
          <cell r="E440" t="str">
            <v>IND</v>
          </cell>
          <cell r="F440" t="str">
            <v>Department of Economic Affairs, Ministry of Finance of India</v>
          </cell>
        </row>
        <row r="441">
          <cell r="B441" t="str">
            <v>IDA-607-G09-T</v>
          </cell>
          <cell r="C441" t="str">
            <v>Administratively Closed</v>
          </cell>
          <cell r="D441" t="str">
            <v>High Impact Asia</v>
          </cell>
          <cell r="E441" t="str">
            <v>IND</v>
          </cell>
          <cell r="F441" t="str">
            <v>Central TB Division, Directorate General Health Services, India</v>
          </cell>
        </row>
        <row r="442">
          <cell r="B442" t="str">
            <v>IDA-607-G10-H</v>
          </cell>
          <cell r="C442" t="str">
            <v>Administratively Closed</v>
          </cell>
          <cell r="D442" t="str">
            <v>High Impact Asia</v>
          </cell>
          <cell r="E442" t="str">
            <v>IND</v>
          </cell>
          <cell r="F442" t="str">
            <v>Population Foundation of India</v>
          </cell>
        </row>
        <row r="443">
          <cell r="B443" t="str">
            <v>IDA-607-G11-H</v>
          </cell>
          <cell r="C443" t="str">
            <v>Administratively Closed</v>
          </cell>
          <cell r="D443" t="str">
            <v>High Impact Asia</v>
          </cell>
          <cell r="E443" t="str">
            <v>IND</v>
          </cell>
          <cell r="F443" t="str">
            <v>Department of AIDS Control, Ministry of Health and Family Welfare of India</v>
          </cell>
        </row>
        <row r="444">
          <cell r="B444" t="str">
            <v>IDA-607-G12-H</v>
          </cell>
          <cell r="C444" t="str">
            <v>Administratively Closed</v>
          </cell>
          <cell r="D444" t="str">
            <v>High Impact Asia</v>
          </cell>
          <cell r="E444" t="str">
            <v>IND</v>
          </cell>
          <cell r="F444" t="str">
            <v>India HIV/AIDS Alliance</v>
          </cell>
        </row>
        <row r="445">
          <cell r="B445" t="str">
            <v>IDA-708-G13-H</v>
          </cell>
          <cell r="C445" t="str">
            <v>Active</v>
          </cell>
          <cell r="D445" t="str">
            <v>High Impact Asia</v>
          </cell>
          <cell r="E445" t="str">
            <v>IND</v>
          </cell>
          <cell r="F445" t="str">
            <v>Department of AIDS Control, Ministry of Health and Family Welfare of India</v>
          </cell>
        </row>
        <row r="446">
          <cell r="B446" t="str">
            <v>IDA-708-G14-H</v>
          </cell>
          <cell r="C446" t="str">
            <v>Active</v>
          </cell>
          <cell r="D446" t="str">
            <v>High Impact Asia</v>
          </cell>
          <cell r="E446" t="str">
            <v>IND</v>
          </cell>
          <cell r="F446" t="str">
            <v>Indian Nursing Council</v>
          </cell>
        </row>
        <row r="447">
          <cell r="B447" t="str">
            <v>IDA-708-G15-H</v>
          </cell>
          <cell r="C447" t="str">
            <v>Active</v>
          </cell>
          <cell r="D447" t="str">
            <v>High Impact Asia</v>
          </cell>
          <cell r="E447" t="str">
            <v>IND</v>
          </cell>
          <cell r="F447" t="str">
            <v>Tata Institute of Social Sciences</v>
          </cell>
        </row>
        <row r="448">
          <cell r="B448" t="str">
            <v>IDA-910-G16-T</v>
          </cell>
          <cell r="C448" t="str">
            <v>Administratively Closed</v>
          </cell>
          <cell r="D448" t="str">
            <v>High Impact Asia</v>
          </cell>
          <cell r="E448" t="str">
            <v>IND</v>
          </cell>
          <cell r="F448" t="str">
            <v>International Union Against Tuberculosis and Lung Disease</v>
          </cell>
        </row>
        <row r="449">
          <cell r="B449" t="str">
            <v>IDA-910-G17-T</v>
          </cell>
          <cell r="C449" t="str">
            <v>Administratively Closed</v>
          </cell>
          <cell r="D449" t="str">
            <v>High Impact Asia</v>
          </cell>
          <cell r="E449" t="str">
            <v>IND</v>
          </cell>
          <cell r="F449" t="str">
            <v>World Vision India</v>
          </cell>
        </row>
        <row r="450">
          <cell r="B450" t="str">
            <v>IDA-910-G18-T</v>
          </cell>
          <cell r="C450" t="str">
            <v>Administratively Closed</v>
          </cell>
          <cell r="D450" t="str">
            <v>High Impact Asia</v>
          </cell>
          <cell r="E450" t="str">
            <v>IND</v>
          </cell>
          <cell r="F450" t="str">
            <v>Central TB Division, Directorate General Health Services, India</v>
          </cell>
        </row>
        <row r="451">
          <cell r="B451" t="str">
            <v>IDA-910-G20-H</v>
          </cell>
          <cell r="C451" t="str">
            <v>Administratively Closed</v>
          </cell>
          <cell r="D451" t="str">
            <v>High Impact Asia</v>
          </cell>
          <cell r="E451" t="str">
            <v>IND</v>
          </cell>
          <cell r="F451" t="str">
            <v>India HIV/AIDS Alliance</v>
          </cell>
        </row>
        <row r="452">
          <cell r="B452" t="str">
            <v>IDA-910-G21-H</v>
          </cell>
          <cell r="C452" t="str">
            <v>Active</v>
          </cell>
          <cell r="D452" t="str">
            <v>High Impact Asia</v>
          </cell>
          <cell r="E452" t="str">
            <v>IND</v>
          </cell>
          <cell r="F452" t="str">
            <v>Emmanuel Hospital Association</v>
          </cell>
        </row>
        <row r="453">
          <cell r="B453" t="str">
            <v>IDA-910-G22-M</v>
          </cell>
          <cell r="C453" t="str">
            <v>Active</v>
          </cell>
          <cell r="D453" t="str">
            <v>High Impact Asia</v>
          </cell>
          <cell r="E453" t="str">
            <v>IND</v>
          </cell>
          <cell r="F453" t="str">
            <v>Caritas India</v>
          </cell>
        </row>
        <row r="454">
          <cell r="B454" t="str">
            <v>IDA-910-G24-H</v>
          </cell>
          <cell r="C454" t="str">
            <v>Administratively Closed</v>
          </cell>
          <cell r="D454" t="str">
            <v>High Impact Asia</v>
          </cell>
          <cell r="E454" t="str">
            <v>IND</v>
          </cell>
          <cell r="F454" t="str">
            <v>Department of Economic Affairs, Ministry of Finance of India</v>
          </cell>
        </row>
        <row r="455">
          <cell r="B455" t="str">
            <v>IDA-911-G23-M</v>
          </cell>
          <cell r="C455" t="str">
            <v>Active</v>
          </cell>
          <cell r="D455" t="str">
            <v>High Impact Asia</v>
          </cell>
          <cell r="E455" t="str">
            <v>IND</v>
          </cell>
          <cell r="F455" t="str">
            <v>Department of Economic Affairs, Ministry of Finance of India</v>
          </cell>
        </row>
        <row r="456">
          <cell r="B456" t="str">
            <v>IDA-H-IHAA</v>
          </cell>
          <cell r="C456" t="str">
            <v>Active</v>
          </cell>
          <cell r="D456" t="str">
            <v>High Impact Asia</v>
          </cell>
          <cell r="E456" t="str">
            <v>IND</v>
          </cell>
          <cell r="F456" t="str">
            <v>India HIV/AIDS Alliance</v>
          </cell>
        </row>
        <row r="457">
          <cell r="B457" t="str">
            <v>IDA-T-CTD</v>
          </cell>
          <cell r="C457" t="str">
            <v>Active</v>
          </cell>
          <cell r="D457" t="str">
            <v>High Impact Asia</v>
          </cell>
          <cell r="E457" t="str">
            <v>IND</v>
          </cell>
          <cell r="F457" t="str">
            <v>Central TB Division, Directorate General Health Services, India</v>
          </cell>
        </row>
        <row r="458">
          <cell r="B458" t="str">
            <v>IDA-T-IUATLD</v>
          </cell>
          <cell r="C458" t="str">
            <v>Active</v>
          </cell>
          <cell r="D458" t="str">
            <v>High Impact Asia</v>
          </cell>
          <cell r="E458" t="str">
            <v>IND</v>
          </cell>
          <cell r="F458" t="str">
            <v>International Union Against Tuberculosis and Lung Disease</v>
          </cell>
        </row>
        <row r="459">
          <cell r="B459" t="str">
            <v>IDA-T-WVI</v>
          </cell>
          <cell r="C459" t="str">
            <v>Active</v>
          </cell>
          <cell r="D459" t="str">
            <v>High Impact Asia</v>
          </cell>
          <cell r="E459" t="str">
            <v>IND</v>
          </cell>
          <cell r="F459" t="str">
            <v>World Vision India</v>
          </cell>
        </row>
        <row r="460">
          <cell r="B460" t="str">
            <v>IDN-M-MOH</v>
          </cell>
          <cell r="C460" t="str">
            <v>Active</v>
          </cell>
          <cell r="D460" t="str">
            <v>High Impact Asia</v>
          </cell>
          <cell r="E460" t="str">
            <v>IDN</v>
          </cell>
          <cell r="F460" t="str">
            <v>Ministry of Health of Indonesia - Directorate of Vector Borne Disease Control</v>
          </cell>
        </row>
        <row r="461">
          <cell r="B461" t="str">
            <v>IDN-M-PERDHAK</v>
          </cell>
          <cell r="C461" t="str">
            <v>Active</v>
          </cell>
          <cell r="D461" t="str">
            <v>High Impact Asia</v>
          </cell>
          <cell r="E461" t="str">
            <v>IDN</v>
          </cell>
          <cell r="F461" t="str">
            <v>PERDHAKI - Indonesian association for voluntary health services</v>
          </cell>
        </row>
        <row r="462">
          <cell r="B462" t="str">
            <v>IND-102-G01-T-00</v>
          </cell>
          <cell r="C462" t="str">
            <v>Administratively Closed</v>
          </cell>
          <cell r="D462" t="str">
            <v>High Impact Asia</v>
          </cell>
          <cell r="E462" t="str">
            <v>IDN</v>
          </cell>
          <cell r="F462" t="str">
            <v>Ministry of Health of Indonesia - Dir. of Disease Control &amp; Environmental Health</v>
          </cell>
        </row>
        <row r="463">
          <cell r="B463" t="str">
            <v>IND-102-G02-M-00</v>
          </cell>
          <cell r="C463" t="str">
            <v>Administratively Closed</v>
          </cell>
          <cell r="D463" t="str">
            <v>High Impact Asia</v>
          </cell>
          <cell r="E463" t="str">
            <v>IDN</v>
          </cell>
          <cell r="F463" t="str">
            <v>Ministry of Health of Indonesia - Directorate of Vector Borne Disease Control</v>
          </cell>
        </row>
        <row r="464">
          <cell r="B464" t="str">
            <v>IND-102-G03-H-00</v>
          </cell>
          <cell r="C464" t="str">
            <v>Administratively Closed</v>
          </cell>
          <cell r="D464" t="str">
            <v>High Impact Asia</v>
          </cell>
          <cell r="E464" t="str">
            <v>IDN</v>
          </cell>
          <cell r="F464" t="str">
            <v>Ministry of Health of Indonesia - Dir. of Disease Control &amp; Environmental Health</v>
          </cell>
        </row>
        <row r="465">
          <cell r="B465" t="str">
            <v>IND-405-G04-H</v>
          </cell>
          <cell r="C465" t="str">
            <v>Administratively Closed</v>
          </cell>
          <cell r="D465" t="str">
            <v>High Impact Asia</v>
          </cell>
          <cell r="E465" t="str">
            <v>IDN</v>
          </cell>
          <cell r="F465" t="str">
            <v>Ministry of Health of Indonesia - Dir. of Disease Control &amp; Environmental Health</v>
          </cell>
        </row>
        <row r="466">
          <cell r="B466" t="str">
            <v>IND-506-G05-T</v>
          </cell>
          <cell r="C466" t="str">
            <v>Administratively Closed</v>
          </cell>
          <cell r="D466" t="str">
            <v>High Impact Asia</v>
          </cell>
          <cell r="E466" t="str">
            <v>IDN</v>
          </cell>
          <cell r="F466" t="str">
            <v>Ministry of Health of Indonesia - Dir. of Disease Control &amp; Environmental Health</v>
          </cell>
        </row>
        <row r="467">
          <cell r="B467" t="str">
            <v>IND-607-G06-M</v>
          </cell>
          <cell r="C467" t="str">
            <v>Administratively Closed</v>
          </cell>
          <cell r="D467" t="str">
            <v>High Impact Asia</v>
          </cell>
          <cell r="E467" t="str">
            <v>IDN</v>
          </cell>
          <cell r="F467" t="str">
            <v>Ministry of Health of Indonesia - Dir. of Disease Control &amp; Environmental Health</v>
          </cell>
        </row>
        <row r="468">
          <cell r="B468" t="str">
            <v>IND-809-G07-H</v>
          </cell>
          <cell r="C468" t="str">
            <v>Administratively Closed</v>
          </cell>
          <cell r="D468" t="str">
            <v>High Impact Asia</v>
          </cell>
          <cell r="E468" t="str">
            <v>IDN</v>
          </cell>
          <cell r="F468" t="str">
            <v>National AIDS Commission of Indonesia</v>
          </cell>
        </row>
        <row r="469">
          <cell r="B469" t="str">
            <v>IND-809-G08-H</v>
          </cell>
          <cell r="C469" t="str">
            <v>Administratively Closed</v>
          </cell>
          <cell r="D469" t="str">
            <v>High Impact Asia</v>
          </cell>
          <cell r="E469" t="str">
            <v>IDN</v>
          </cell>
          <cell r="F469" t="str">
            <v>Ministry of Health of Indonesia - Dir. of Disease Control &amp; Environmental Health</v>
          </cell>
        </row>
        <row r="470">
          <cell r="B470" t="str">
            <v>IND-809-G09-H</v>
          </cell>
          <cell r="C470" t="str">
            <v>Administratively Closed</v>
          </cell>
          <cell r="D470" t="str">
            <v>High Impact Asia</v>
          </cell>
          <cell r="E470" t="str">
            <v>IDN</v>
          </cell>
          <cell r="F470" t="str">
            <v>Indonesian Planned Parenthood Association</v>
          </cell>
        </row>
        <row r="471">
          <cell r="B471" t="str">
            <v>IND-809-G10-T</v>
          </cell>
          <cell r="C471" t="str">
            <v>Administratively Closed</v>
          </cell>
          <cell r="D471" t="str">
            <v>High Impact Asia</v>
          </cell>
          <cell r="E471" t="str">
            <v>IDN</v>
          </cell>
          <cell r="F471" t="str">
            <v>Central Board of Aisyiyah</v>
          </cell>
        </row>
        <row r="472">
          <cell r="B472" t="str">
            <v>IND-809-G11-T</v>
          </cell>
          <cell r="C472" t="str">
            <v>Administratively Closed</v>
          </cell>
          <cell r="D472" t="str">
            <v>High Impact Asia</v>
          </cell>
          <cell r="E472" t="str">
            <v>IDN</v>
          </cell>
          <cell r="F472" t="str">
            <v>Ministry of Health of Indonesia - Dir. of Disease Control &amp; Environmental Health</v>
          </cell>
        </row>
        <row r="473">
          <cell r="B473" t="str">
            <v>IND-809-G12-T</v>
          </cell>
          <cell r="C473" t="str">
            <v>Financial Closure</v>
          </cell>
          <cell r="D473" t="str">
            <v>High Impact Asia</v>
          </cell>
          <cell r="E473" t="str">
            <v>IDN</v>
          </cell>
          <cell r="F473" t="str">
            <v>Faculty of Public Health, University of Indonesia</v>
          </cell>
        </row>
        <row r="474">
          <cell r="B474" t="str">
            <v>IND-809-G13-M</v>
          </cell>
          <cell r="C474" t="str">
            <v>Active</v>
          </cell>
          <cell r="D474" t="str">
            <v>High Impact Asia</v>
          </cell>
          <cell r="E474" t="str">
            <v>IDN</v>
          </cell>
          <cell r="F474" t="str">
            <v>PERDHAKI - Indonesian association for voluntary health services</v>
          </cell>
        </row>
        <row r="475">
          <cell r="B475" t="str">
            <v>IND-809-G14-M</v>
          </cell>
          <cell r="C475" t="str">
            <v>Administratively Closed</v>
          </cell>
          <cell r="D475" t="str">
            <v>High Impact Asia</v>
          </cell>
          <cell r="E475" t="str">
            <v>IDN</v>
          </cell>
          <cell r="F475" t="str">
            <v>Ministry of Health of Indonesia - Directorate of Vector Borne Disease Control</v>
          </cell>
        </row>
        <row r="476">
          <cell r="B476" t="str">
            <v>IND-910-G15-H</v>
          </cell>
          <cell r="C476" t="str">
            <v>Administratively Closed</v>
          </cell>
          <cell r="D476" t="str">
            <v>High Impact Asia</v>
          </cell>
          <cell r="E476" t="str">
            <v>IDN</v>
          </cell>
          <cell r="F476" t="str">
            <v>Nahdlatul Ulama</v>
          </cell>
        </row>
        <row r="477">
          <cell r="B477" t="str">
            <v>IND-H-IPPA</v>
          </cell>
          <cell r="C477" t="str">
            <v>Active</v>
          </cell>
          <cell r="D477" t="str">
            <v>High Impact Asia</v>
          </cell>
          <cell r="E477" t="str">
            <v>IDN</v>
          </cell>
          <cell r="F477" t="str">
            <v>Indonesian Planned Parenthood Association</v>
          </cell>
        </row>
        <row r="478">
          <cell r="B478" t="str">
            <v>IND-H-MOH</v>
          </cell>
          <cell r="C478" t="str">
            <v>Active</v>
          </cell>
          <cell r="D478" t="str">
            <v>High Impact Asia</v>
          </cell>
          <cell r="E478" t="str">
            <v>IDN</v>
          </cell>
          <cell r="F478" t="str">
            <v>Ministry of Health of Indonesia - Dir. of Disease Control &amp; Environmental Health</v>
          </cell>
        </row>
        <row r="479">
          <cell r="B479" t="str">
            <v>IND-H-NAC</v>
          </cell>
          <cell r="C479" t="str">
            <v>Active</v>
          </cell>
          <cell r="D479" t="str">
            <v>High Impact Asia</v>
          </cell>
          <cell r="E479" t="str">
            <v>IDN</v>
          </cell>
          <cell r="F479" t="str">
            <v>National AIDS Commission of Indonesia</v>
          </cell>
        </row>
        <row r="480">
          <cell r="B480" t="str">
            <v>IND-H-NU</v>
          </cell>
          <cell r="C480" t="str">
            <v>Active</v>
          </cell>
          <cell r="D480" t="str">
            <v>High Impact Asia</v>
          </cell>
          <cell r="E480" t="str">
            <v>IDN</v>
          </cell>
          <cell r="F480" t="str">
            <v>Nahdlatul Ulama</v>
          </cell>
        </row>
        <row r="481">
          <cell r="B481" t="str">
            <v>IND-S-MOH</v>
          </cell>
          <cell r="C481" t="str">
            <v>Active</v>
          </cell>
          <cell r="D481" t="str">
            <v>High Impact Asia</v>
          </cell>
          <cell r="E481" t="str">
            <v>IDN</v>
          </cell>
          <cell r="F481" t="str">
            <v>Secretariat General, Ministry of Health, Indonesia</v>
          </cell>
        </row>
        <row r="482">
          <cell r="B482" t="str">
            <v>IND-T-AISYIYA</v>
          </cell>
          <cell r="C482" t="str">
            <v>Active</v>
          </cell>
          <cell r="D482" t="str">
            <v>High Impact Asia</v>
          </cell>
          <cell r="E482" t="str">
            <v>IDN</v>
          </cell>
          <cell r="F482" t="str">
            <v>Central Board of Aisyiyah</v>
          </cell>
        </row>
        <row r="483">
          <cell r="B483" t="str">
            <v>IND-T-MOH</v>
          </cell>
          <cell r="C483" t="str">
            <v>Active</v>
          </cell>
          <cell r="D483" t="str">
            <v>High Impact Asia</v>
          </cell>
          <cell r="E483" t="str">
            <v>IDN</v>
          </cell>
          <cell r="F483" t="str">
            <v>Ministry of Health of Indonesia - Dir. of Disease Control &amp; Environmental Health</v>
          </cell>
        </row>
        <row r="484">
          <cell r="B484" t="str">
            <v>IRN-202-G01-H-00</v>
          </cell>
          <cell r="C484" t="str">
            <v>Administratively Closed</v>
          </cell>
          <cell r="D484" t="str">
            <v>South East Asia</v>
          </cell>
          <cell r="E484" t="str">
            <v>IRN</v>
          </cell>
          <cell r="F484" t="str">
            <v>United Nations Development Programme, Iran</v>
          </cell>
        </row>
        <row r="485">
          <cell r="B485" t="str">
            <v>IRN-708-G02-M</v>
          </cell>
          <cell r="C485" t="str">
            <v>Administratively Closed</v>
          </cell>
          <cell r="D485" t="str">
            <v>South East Asia</v>
          </cell>
          <cell r="E485" t="str">
            <v>IRN</v>
          </cell>
          <cell r="F485" t="str">
            <v>United Nations Development Programme, Iran</v>
          </cell>
        </row>
        <row r="486">
          <cell r="B486" t="str">
            <v>IRN-708-G03-T</v>
          </cell>
          <cell r="C486" t="str">
            <v>Financial Closure</v>
          </cell>
          <cell r="D486" t="str">
            <v>South East Asia</v>
          </cell>
          <cell r="E486" t="str">
            <v>IRN</v>
          </cell>
          <cell r="F486" t="str">
            <v>United Nations Development Programme, Iran</v>
          </cell>
        </row>
        <row r="487">
          <cell r="B487" t="str">
            <v>IRN-810-G04-H</v>
          </cell>
          <cell r="C487" t="str">
            <v>Active</v>
          </cell>
          <cell r="D487" t="str">
            <v>South East Asia</v>
          </cell>
          <cell r="E487" t="str">
            <v>IRN</v>
          </cell>
          <cell r="F487" t="str">
            <v>United Nations Development Programme, Iran</v>
          </cell>
        </row>
        <row r="488">
          <cell r="B488" t="str">
            <v>IRN-H-UNDP</v>
          </cell>
          <cell r="C488" t="str">
            <v>N.D.</v>
          </cell>
          <cell r="D488" t="str">
            <v>South East Asia</v>
          </cell>
          <cell r="E488" t="str">
            <v>IRN</v>
          </cell>
          <cell r="F488" t="str">
            <v>Not Defined</v>
          </cell>
        </row>
        <row r="489">
          <cell r="B489" t="str">
            <v>IRN-M-UNDP</v>
          </cell>
          <cell r="C489" t="str">
            <v>Active</v>
          </cell>
          <cell r="D489" t="str">
            <v>South East Asia</v>
          </cell>
          <cell r="E489" t="str">
            <v>IRN</v>
          </cell>
          <cell r="F489" t="str">
            <v>United Nations Development Programme, Iran</v>
          </cell>
        </row>
        <row r="490">
          <cell r="B490" t="str">
            <v>IRQ-607-G01-T</v>
          </cell>
          <cell r="C490" t="str">
            <v>Administratively Closed</v>
          </cell>
          <cell r="D490" t="str">
            <v>Middle East and North Africa</v>
          </cell>
          <cell r="E490" t="str">
            <v>IRQ</v>
          </cell>
          <cell r="F490" t="str">
            <v>United Nations Development Programme, Iraq</v>
          </cell>
        </row>
        <row r="491">
          <cell r="B491" t="str">
            <v>IRQ-T-UNDP</v>
          </cell>
          <cell r="C491" t="str">
            <v>Active</v>
          </cell>
          <cell r="D491" t="str">
            <v>Middle East and North Africa</v>
          </cell>
          <cell r="E491" t="str">
            <v>IRQ</v>
          </cell>
          <cell r="F491" t="str">
            <v>United Nations Development Programme, Iraq</v>
          </cell>
        </row>
        <row r="492">
          <cell r="B492" t="str">
            <v>JAM-304-G01-H</v>
          </cell>
          <cell r="C492" t="str">
            <v>Administratively Closed</v>
          </cell>
          <cell r="D492" t="str">
            <v>Latin America and Caribbean</v>
          </cell>
          <cell r="E492" t="str">
            <v>JAM</v>
          </cell>
          <cell r="F492" t="str">
            <v>Ministry of Health of Jamaica</v>
          </cell>
        </row>
        <row r="493">
          <cell r="B493" t="str">
            <v>JAM-708-G02-H</v>
          </cell>
          <cell r="C493" t="str">
            <v>Active</v>
          </cell>
          <cell r="D493" t="str">
            <v>Latin America and Caribbean</v>
          </cell>
          <cell r="E493" t="str">
            <v>JAM</v>
          </cell>
          <cell r="F493" t="str">
            <v>Ministry of Health of Jamaica</v>
          </cell>
        </row>
        <row r="494">
          <cell r="B494" t="str">
            <v>JOR-011-G04-T</v>
          </cell>
          <cell r="C494" t="str">
            <v>Active</v>
          </cell>
          <cell r="D494" t="str">
            <v>Middle East and North Africa</v>
          </cell>
          <cell r="E494" t="str">
            <v>JOR</v>
          </cell>
          <cell r="F494" t="str">
            <v>National Tuberculosis Program, Ministry of Health of Jordan</v>
          </cell>
        </row>
        <row r="495">
          <cell r="B495" t="str">
            <v>JOR-202-G01-H-00</v>
          </cell>
          <cell r="C495" t="str">
            <v>Administratively Closed</v>
          </cell>
          <cell r="D495" t="str">
            <v>Middle East and North Africa</v>
          </cell>
          <cell r="E495" t="str">
            <v>JOR</v>
          </cell>
          <cell r="F495" t="str">
            <v>Communicable Diseases Directorate, Ministry of Health of Jordan</v>
          </cell>
        </row>
        <row r="496">
          <cell r="B496" t="str">
            <v>JOR-506-G02-T</v>
          </cell>
          <cell r="C496" t="str">
            <v>Administratively Closed</v>
          </cell>
          <cell r="D496" t="str">
            <v>Middle East and North Africa</v>
          </cell>
          <cell r="E496" t="str">
            <v>JOR</v>
          </cell>
          <cell r="F496" t="str">
            <v>National Tuberculosis Program, Ministry of Health of Jordan</v>
          </cell>
        </row>
        <row r="497">
          <cell r="B497" t="str">
            <v>JOR-607-G03-H</v>
          </cell>
          <cell r="C497" t="str">
            <v>Active</v>
          </cell>
          <cell r="D497" t="str">
            <v>Middle East and North Africa</v>
          </cell>
          <cell r="E497" t="str">
            <v>JOR</v>
          </cell>
          <cell r="F497" t="str">
            <v>Communicable Diseases Directorate, Ministry of Health of Jordan</v>
          </cell>
        </row>
        <row r="498">
          <cell r="B498" t="str">
            <v>KAZ-202-G01-H-00</v>
          </cell>
          <cell r="C498" t="str">
            <v>Administratively Closed</v>
          </cell>
          <cell r="D498" t="str">
            <v>Eastern Europe and Central Asia</v>
          </cell>
          <cell r="E498" t="str">
            <v>KAZ</v>
          </cell>
          <cell r="F498" t="str">
            <v>Ministry of Health of Kazakhstan - Republican AIDS Center</v>
          </cell>
        </row>
        <row r="499">
          <cell r="B499" t="str">
            <v>KAZ-607-G02-T</v>
          </cell>
          <cell r="C499" t="str">
            <v>Financial Closure</v>
          </cell>
          <cell r="D499" t="str">
            <v>Eastern Europe and Central Asia</v>
          </cell>
          <cell r="E499" t="str">
            <v>KAZ</v>
          </cell>
          <cell r="F499" t="str">
            <v>Ministry of Health of Kazakhstan - National Center of TB Problems</v>
          </cell>
        </row>
        <row r="500">
          <cell r="B500" t="str">
            <v>KAZ-708-G03-H</v>
          </cell>
          <cell r="C500" t="str">
            <v>Administratively Closed</v>
          </cell>
          <cell r="D500" t="str">
            <v>Eastern Europe and Central Asia</v>
          </cell>
          <cell r="E500" t="str">
            <v>KAZ</v>
          </cell>
          <cell r="F500" t="str">
            <v>Ministry of Health of Kazakhstan - Republican AIDS Center</v>
          </cell>
        </row>
        <row r="501">
          <cell r="B501" t="str">
            <v>KAZ-809-G04-T</v>
          </cell>
          <cell r="C501" t="str">
            <v>Active</v>
          </cell>
          <cell r="D501" t="str">
            <v>Eastern Europe and Central Asia</v>
          </cell>
          <cell r="E501" t="str">
            <v>KAZ</v>
          </cell>
          <cell r="F501" t="str">
            <v>Ministry of Health of Kazakhstan - National Center of TB Problems</v>
          </cell>
        </row>
        <row r="502">
          <cell r="B502" t="str">
            <v>KAZ-H-RAC</v>
          </cell>
          <cell r="C502" t="str">
            <v>Active</v>
          </cell>
          <cell r="D502" t="str">
            <v>Eastern Europe and Central Asia</v>
          </cell>
          <cell r="E502" t="str">
            <v>KAZ</v>
          </cell>
          <cell r="F502" t="str">
            <v>Ministry of Health of Kazakhstan - Republican AIDS Center</v>
          </cell>
        </row>
        <row r="503">
          <cell r="B503" t="str">
            <v>KAZ-T-HOPE</v>
          </cell>
          <cell r="C503" t="str">
            <v>Active</v>
          </cell>
          <cell r="D503" t="str">
            <v>Eastern Europe and Central Asia</v>
          </cell>
          <cell r="E503" t="str">
            <v>KAZ</v>
          </cell>
          <cell r="F503" t="str">
            <v>Project Hope, Kazakhstan</v>
          </cell>
        </row>
        <row r="504">
          <cell r="B504" t="str">
            <v>KAZ-T-NCTP</v>
          </cell>
          <cell r="C504" t="str">
            <v>Active</v>
          </cell>
          <cell r="D504" t="str">
            <v>Eastern Europe and Central Asia</v>
          </cell>
          <cell r="E504" t="str">
            <v>KAZ</v>
          </cell>
          <cell r="F504" t="str">
            <v>Ministry of Health of Kazakhstan - National Center of TB Problems</v>
          </cell>
        </row>
        <row r="505">
          <cell r="B505" t="str">
            <v>KEN-011-G13-M</v>
          </cell>
          <cell r="C505" t="str">
            <v>Active</v>
          </cell>
          <cell r="D505" t="str">
            <v>High Impact Africa 2</v>
          </cell>
          <cell r="E505" t="str">
            <v>KEN</v>
          </cell>
          <cell r="F505" t="str">
            <v>National Treasury</v>
          </cell>
        </row>
        <row r="506">
          <cell r="B506" t="str">
            <v>KEN-011-G14-M</v>
          </cell>
          <cell r="C506" t="str">
            <v>Active</v>
          </cell>
          <cell r="D506" t="str">
            <v>High Impact Africa 2</v>
          </cell>
          <cell r="E506" t="str">
            <v>KEN</v>
          </cell>
          <cell r="F506" t="str">
            <v>African Medical and Research Foundation in Kenya</v>
          </cell>
        </row>
        <row r="507">
          <cell r="B507" t="str">
            <v>KEN-102-G01-H-00</v>
          </cell>
          <cell r="C507" t="str">
            <v>Financial Closure</v>
          </cell>
          <cell r="D507" t="str">
            <v>High Impact Africa 2</v>
          </cell>
          <cell r="E507" t="str">
            <v>KEN</v>
          </cell>
          <cell r="F507" t="str">
            <v>Sanaa Art Promotions</v>
          </cell>
        </row>
        <row r="508">
          <cell r="B508" t="str">
            <v>KEN-102-G02-H-00</v>
          </cell>
          <cell r="C508" t="str">
            <v>Financial Closure</v>
          </cell>
          <cell r="D508" t="str">
            <v>High Impact Africa 2</v>
          </cell>
          <cell r="E508" t="str">
            <v>KEN</v>
          </cell>
          <cell r="F508" t="str">
            <v>Kenya Network of Women With AIDS</v>
          </cell>
        </row>
        <row r="509">
          <cell r="B509" t="str">
            <v>KEN-202-G03-H-00</v>
          </cell>
          <cell r="C509" t="str">
            <v>Financial Closure</v>
          </cell>
          <cell r="D509" t="str">
            <v>High Impact Africa 2</v>
          </cell>
          <cell r="E509" t="str">
            <v>KEN</v>
          </cell>
          <cell r="F509" t="str">
            <v>National Treasury</v>
          </cell>
        </row>
        <row r="510">
          <cell r="B510" t="str">
            <v>KEN-202-G04-T-00</v>
          </cell>
          <cell r="C510" t="str">
            <v>Financial Closure</v>
          </cell>
          <cell r="D510" t="str">
            <v>High Impact Africa 2</v>
          </cell>
          <cell r="E510" t="str">
            <v>KEN</v>
          </cell>
          <cell r="F510" t="str">
            <v>National Treasury</v>
          </cell>
        </row>
        <row r="511">
          <cell r="B511" t="str">
            <v>KEN-202-G05-M-00</v>
          </cell>
          <cell r="C511" t="str">
            <v>Financial Closure</v>
          </cell>
          <cell r="D511" t="str">
            <v>High Impact Africa 2</v>
          </cell>
          <cell r="E511" t="str">
            <v>KEN</v>
          </cell>
          <cell r="F511" t="str">
            <v>National Treasury</v>
          </cell>
        </row>
        <row r="512">
          <cell r="B512" t="str">
            <v>KEN-405-G06-M</v>
          </cell>
          <cell r="C512" t="str">
            <v>Financial Closure</v>
          </cell>
          <cell r="D512" t="str">
            <v>High Impact Africa 2</v>
          </cell>
          <cell r="E512" t="str">
            <v>KEN</v>
          </cell>
          <cell r="F512" t="str">
            <v>National Treasury</v>
          </cell>
        </row>
        <row r="513">
          <cell r="B513" t="str">
            <v>KEN-506-G07-T</v>
          </cell>
          <cell r="C513" t="str">
            <v>Administratively Closed</v>
          </cell>
          <cell r="D513" t="str">
            <v>High Impact Africa 2</v>
          </cell>
          <cell r="E513" t="str">
            <v>KEN</v>
          </cell>
          <cell r="F513" t="str">
            <v>National Treasury</v>
          </cell>
        </row>
        <row r="514">
          <cell r="B514" t="str">
            <v>KEN-607-G08-T</v>
          </cell>
          <cell r="C514" t="str">
            <v>Administratively Closed</v>
          </cell>
          <cell r="D514" t="str">
            <v>High Impact Africa 2</v>
          </cell>
          <cell r="E514" t="str">
            <v>KEN</v>
          </cell>
          <cell r="F514" t="str">
            <v>National Treasury</v>
          </cell>
        </row>
        <row r="515">
          <cell r="B515" t="str">
            <v>KEN-708-G09-H</v>
          </cell>
          <cell r="C515" t="str">
            <v>Administratively Closed</v>
          </cell>
          <cell r="D515" t="str">
            <v>High Impact Africa 2</v>
          </cell>
          <cell r="E515" t="str">
            <v>KEN</v>
          </cell>
          <cell r="F515" t="str">
            <v>National Treasury</v>
          </cell>
        </row>
        <row r="516">
          <cell r="B516" t="str">
            <v>KEN-708-G10-H</v>
          </cell>
          <cell r="C516" t="str">
            <v>Active</v>
          </cell>
          <cell r="D516" t="str">
            <v>High Impact Africa 2</v>
          </cell>
          <cell r="E516" t="str">
            <v>KEN</v>
          </cell>
          <cell r="F516" t="str">
            <v>CARE International in Kenya</v>
          </cell>
        </row>
        <row r="517">
          <cell r="B517" t="str">
            <v>KEN-H-KRC</v>
          </cell>
          <cell r="C517" t="str">
            <v>Active</v>
          </cell>
          <cell r="D517" t="str">
            <v>High Impact Africa 2</v>
          </cell>
          <cell r="E517" t="str">
            <v>KEN</v>
          </cell>
          <cell r="F517" t="str">
            <v>Kenya Red Cross Society</v>
          </cell>
        </row>
        <row r="518">
          <cell r="B518" t="str">
            <v>KEN-H-MOF</v>
          </cell>
          <cell r="C518" t="str">
            <v>Active</v>
          </cell>
          <cell r="D518" t="str">
            <v>High Impact Africa 2</v>
          </cell>
          <cell r="E518" t="str">
            <v>KEN</v>
          </cell>
          <cell r="F518" t="str">
            <v>National Treasury</v>
          </cell>
        </row>
        <row r="519">
          <cell r="B519" t="str">
            <v>KEN-S11-G11-T</v>
          </cell>
          <cell r="C519" t="str">
            <v>Active</v>
          </cell>
          <cell r="D519" t="str">
            <v>High Impact Africa 2</v>
          </cell>
          <cell r="E519" t="str">
            <v>KEN</v>
          </cell>
          <cell r="F519" t="str">
            <v>African Medical and Research Foundation in Kenya</v>
          </cell>
        </row>
        <row r="520">
          <cell r="B520" t="str">
            <v>KEN-S11-G12-T</v>
          </cell>
          <cell r="C520" t="str">
            <v>Active</v>
          </cell>
          <cell r="D520" t="str">
            <v>High Impact Africa 2</v>
          </cell>
          <cell r="E520" t="str">
            <v>KEN</v>
          </cell>
          <cell r="F520" t="str">
            <v>National Treasury</v>
          </cell>
        </row>
        <row r="521">
          <cell r="B521" t="str">
            <v>PRK-810-G01-M</v>
          </cell>
          <cell r="C521" t="str">
            <v>Active</v>
          </cell>
          <cell r="D521" t="str">
            <v>South East Asia</v>
          </cell>
          <cell r="E521" t="str">
            <v>PRK</v>
          </cell>
          <cell r="F521" t="str">
            <v>United Nations Children's Fund, PRK</v>
          </cell>
        </row>
        <row r="522">
          <cell r="B522" t="str">
            <v>PRK-810-G02-T</v>
          </cell>
          <cell r="C522" t="str">
            <v>Active</v>
          </cell>
          <cell r="D522" t="str">
            <v>South East Asia</v>
          </cell>
          <cell r="E522" t="str">
            <v>PRK</v>
          </cell>
          <cell r="F522" t="str">
            <v>United Nations Children's Fund, PRK</v>
          </cell>
        </row>
        <row r="523">
          <cell r="B523" t="str">
            <v>PRK-M-UNICEF</v>
          </cell>
          <cell r="C523" t="str">
            <v>Active</v>
          </cell>
          <cell r="D523" t="str">
            <v>South East Asia</v>
          </cell>
          <cell r="E523" t="str">
            <v>PRK</v>
          </cell>
          <cell r="F523" t="str">
            <v>United Nations Children's Fund, PRK</v>
          </cell>
        </row>
        <row r="524">
          <cell r="B524" t="str">
            <v>KOS-405-G01-T</v>
          </cell>
          <cell r="C524" t="str">
            <v>Administratively Closed</v>
          </cell>
          <cell r="D524" t="str">
            <v>Eastern Europe and Central Asia</v>
          </cell>
          <cell r="E524" t="str">
            <v>QNA</v>
          </cell>
          <cell r="F524" t="str">
            <v>Ministry of Health of Kosovo</v>
          </cell>
        </row>
        <row r="525">
          <cell r="B525" t="str">
            <v>KOS-708-G02-H</v>
          </cell>
          <cell r="C525" t="str">
            <v>Administratively Closed</v>
          </cell>
          <cell r="D525" t="str">
            <v>Eastern Europe and Central Asia</v>
          </cell>
          <cell r="E525" t="str">
            <v>QNA</v>
          </cell>
          <cell r="F525" t="str">
            <v>Ministry of Health of Kosovo</v>
          </cell>
        </row>
        <row r="526">
          <cell r="B526" t="str">
            <v>KOS-711-G04-H</v>
          </cell>
          <cell r="C526" t="str">
            <v>Active</v>
          </cell>
          <cell r="D526" t="str">
            <v>Eastern Europe and Central Asia</v>
          </cell>
          <cell r="E526" t="str">
            <v>QNA</v>
          </cell>
          <cell r="F526" t="str">
            <v>Community Development Fund</v>
          </cell>
        </row>
        <row r="527">
          <cell r="B527" t="str">
            <v>KOS-911-G03-T</v>
          </cell>
          <cell r="C527" t="str">
            <v>Administratively Closed</v>
          </cell>
          <cell r="D527" t="str">
            <v>Eastern Europe and Central Asia</v>
          </cell>
          <cell r="E527" t="str">
            <v>QNA</v>
          </cell>
          <cell r="F527" t="str">
            <v>Ministry of Health of Kosovo</v>
          </cell>
        </row>
        <row r="528">
          <cell r="B528" t="str">
            <v>KOS-911-G05-T</v>
          </cell>
          <cell r="C528" t="str">
            <v>Active</v>
          </cell>
          <cell r="D528" t="str">
            <v>Eastern Europe and Central Asia</v>
          </cell>
          <cell r="E528" t="str">
            <v>QNA</v>
          </cell>
          <cell r="F528" t="str">
            <v>Community Development Fund</v>
          </cell>
        </row>
        <row r="529">
          <cell r="B529" t="str">
            <v>KGZ-202-G01-H-00</v>
          </cell>
          <cell r="C529" t="str">
            <v>Financially Closed</v>
          </cell>
          <cell r="D529" t="str">
            <v>Eastern Europe and Central Asia</v>
          </cell>
          <cell r="E529" t="str">
            <v>KGZ</v>
          </cell>
          <cell r="F529" t="str">
            <v>National AIDS Center, Kyrgyzstan</v>
          </cell>
        </row>
        <row r="530">
          <cell r="B530" t="str">
            <v>KGZ-202-G02-T-00</v>
          </cell>
          <cell r="C530" t="str">
            <v>Financially Closed</v>
          </cell>
          <cell r="D530" t="str">
            <v>Eastern Europe and Central Asia</v>
          </cell>
          <cell r="E530" t="str">
            <v>KGZ</v>
          </cell>
          <cell r="F530" t="str">
            <v>National Center of Phtisiology</v>
          </cell>
        </row>
        <row r="531">
          <cell r="B531" t="str">
            <v>KGZ-506-G03-M</v>
          </cell>
          <cell r="C531" t="str">
            <v>Administratively Closed</v>
          </cell>
          <cell r="D531" t="str">
            <v>Eastern Europe and Central Asia</v>
          </cell>
          <cell r="E531" t="str">
            <v>KGZ</v>
          </cell>
          <cell r="F531" t="str">
            <v>State Sanitary Epidemiological Department</v>
          </cell>
        </row>
        <row r="532">
          <cell r="B532" t="str">
            <v>KGZ-607-G04-T</v>
          </cell>
          <cell r="C532" t="str">
            <v>Financially Closed</v>
          </cell>
          <cell r="D532" t="str">
            <v>Eastern Europe and Central Asia</v>
          </cell>
          <cell r="E532" t="str">
            <v>KGZ</v>
          </cell>
          <cell r="F532" t="str">
            <v>National Center of Phtisiology</v>
          </cell>
        </row>
        <row r="533">
          <cell r="B533" t="str">
            <v>KGZ-708-G05-H</v>
          </cell>
          <cell r="C533" t="str">
            <v>Administratively Closed</v>
          </cell>
          <cell r="D533" t="str">
            <v>Eastern Europe and Central Asia</v>
          </cell>
          <cell r="E533" t="str">
            <v>KGZ</v>
          </cell>
          <cell r="F533" t="str">
            <v>National AIDS Center, Kyrgyzstan</v>
          </cell>
        </row>
        <row r="534">
          <cell r="B534" t="str">
            <v>KGZ-809-G06-M</v>
          </cell>
          <cell r="C534" t="str">
            <v>Administratively Closed</v>
          </cell>
          <cell r="D534" t="str">
            <v>Eastern Europe and Central Asia</v>
          </cell>
          <cell r="E534" t="str">
            <v>KGZ</v>
          </cell>
          <cell r="F534" t="str">
            <v>State Sanitary Epidemiological Department</v>
          </cell>
        </row>
        <row r="535">
          <cell r="B535" t="str">
            <v>KGZ-811-G09-M</v>
          </cell>
          <cell r="C535" t="str">
            <v>Active</v>
          </cell>
          <cell r="D535" t="str">
            <v>Eastern Europe and Central Asia</v>
          </cell>
          <cell r="E535" t="str">
            <v>KGZ</v>
          </cell>
          <cell r="F535" t="str">
            <v>United Nations Development Programme, Kyrgyzstan</v>
          </cell>
        </row>
        <row r="536">
          <cell r="B536" t="str">
            <v>KGZ-910-G07-T</v>
          </cell>
          <cell r="C536" t="str">
            <v>Active</v>
          </cell>
          <cell r="D536" t="str">
            <v>Eastern Europe and Central Asia</v>
          </cell>
          <cell r="E536" t="str">
            <v>KGZ</v>
          </cell>
          <cell r="F536" t="str">
            <v>Project HOPE, Kyrgyzstan</v>
          </cell>
        </row>
        <row r="537">
          <cell r="B537" t="str">
            <v>KGZ-H-UNDP</v>
          </cell>
          <cell r="C537" t="str">
            <v>Active</v>
          </cell>
          <cell r="D537" t="str">
            <v>Eastern Europe and Central Asia</v>
          </cell>
          <cell r="E537" t="str">
            <v>KGZ</v>
          </cell>
          <cell r="F537" t="str">
            <v>United Nations Development Programme, Kyrgyzstan</v>
          </cell>
        </row>
        <row r="538">
          <cell r="B538" t="str">
            <v>KGZ-S10-G08-T</v>
          </cell>
          <cell r="C538" t="str">
            <v>Active</v>
          </cell>
          <cell r="D538" t="str">
            <v>Eastern Europe and Central Asia</v>
          </cell>
          <cell r="E538" t="str">
            <v>KGZ</v>
          </cell>
          <cell r="F538" t="str">
            <v>United Nations Development Programme, Kyrgyzstan</v>
          </cell>
        </row>
        <row r="539">
          <cell r="B539" t="str">
            <v>LAO-102-G01-H-00</v>
          </cell>
          <cell r="C539" t="str">
            <v>Administratively Closed</v>
          </cell>
          <cell r="D539" t="str">
            <v>South East Asia</v>
          </cell>
          <cell r="E539" t="str">
            <v>LAO</v>
          </cell>
          <cell r="F539" t="str">
            <v>Ministry of Health of Lao</v>
          </cell>
        </row>
        <row r="540">
          <cell r="B540" t="str">
            <v>LAO-102-G02-M-00</v>
          </cell>
          <cell r="C540" t="str">
            <v>Administratively Closed</v>
          </cell>
          <cell r="D540" t="str">
            <v>South East Asia</v>
          </cell>
          <cell r="E540" t="str">
            <v>LAO</v>
          </cell>
          <cell r="F540" t="str">
            <v>Ministry of Health of Lao</v>
          </cell>
        </row>
        <row r="541">
          <cell r="B541" t="str">
            <v>LAO-202-G03-T-00</v>
          </cell>
          <cell r="C541" t="str">
            <v>Administratively Closed</v>
          </cell>
          <cell r="D541" t="str">
            <v>South East Asia</v>
          </cell>
          <cell r="E541" t="str">
            <v>LAO</v>
          </cell>
          <cell r="F541" t="str">
            <v>Ministry of Health of Lao</v>
          </cell>
        </row>
        <row r="542">
          <cell r="B542" t="str">
            <v>LAO-405-G04-H</v>
          </cell>
          <cell r="C542" t="str">
            <v>Administratively Closed</v>
          </cell>
          <cell r="D542" t="str">
            <v>South East Asia</v>
          </cell>
          <cell r="E542" t="str">
            <v>LAO</v>
          </cell>
          <cell r="F542" t="str">
            <v>Ministry of Health of Lao</v>
          </cell>
        </row>
        <row r="543">
          <cell r="B543" t="str">
            <v>LAO-405-G05-M</v>
          </cell>
          <cell r="C543" t="str">
            <v>Financial Closure</v>
          </cell>
          <cell r="D543" t="str">
            <v>South East Asia</v>
          </cell>
          <cell r="E543" t="str">
            <v>LAO</v>
          </cell>
          <cell r="F543" t="str">
            <v>Ministry of Health of Lao</v>
          </cell>
        </row>
        <row r="544">
          <cell r="B544" t="str">
            <v>LAO-405-G06-T</v>
          </cell>
          <cell r="C544" t="str">
            <v>Administratively Closed</v>
          </cell>
          <cell r="D544" t="str">
            <v>South East Asia</v>
          </cell>
          <cell r="E544" t="str">
            <v>LAO</v>
          </cell>
          <cell r="F544" t="str">
            <v>Ministry of Health of Lao</v>
          </cell>
        </row>
        <row r="545">
          <cell r="B545" t="str">
            <v>LAO-607-G07-M</v>
          </cell>
          <cell r="C545" t="str">
            <v>Administratively Closed</v>
          </cell>
          <cell r="D545" t="str">
            <v>South East Asia</v>
          </cell>
          <cell r="E545" t="str">
            <v>LAO</v>
          </cell>
          <cell r="F545" t="str">
            <v>Ministry of Health of Lao</v>
          </cell>
        </row>
        <row r="546">
          <cell r="B546" t="str">
            <v>LAO-607-G08-H</v>
          </cell>
          <cell r="C546" t="str">
            <v>Administratively Closed</v>
          </cell>
          <cell r="D546" t="str">
            <v>South East Asia</v>
          </cell>
          <cell r="E546" t="str">
            <v>LAO</v>
          </cell>
          <cell r="F546" t="str">
            <v>Ministry of Health of Lao</v>
          </cell>
        </row>
        <row r="547">
          <cell r="B547" t="str">
            <v>LAO-708-G09-M</v>
          </cell>
          <cell r="C547" t="str">
            <v>Active</v>
          </cell>
          <cell r="D547" t="str">
            <v>South East Asia</v>
          </cell>
          <cell r="E547" t="str">
            <v>LAO</v>
          </cell>
          <cell r="F547" t="str">
            <v>Ministry of Health of Lao</v>
          </cell>
        </row>
        <row r="548">
          <cell r="B548" t="str">
            <v>LAO-708-G10-T</v>
          </cell>
          <cell r="C548" t="str">
            <v>Administratively Closed</v>
          </cell>
          <cell r="D548" t="str">
            <v>South East Asia</v>
          </cell>
          <cell r="E548" t="str">
            <v>LAO</v>
          </cell>
          <cell r="F548" t="str">
            <v>Ministry of Health of Lao</v>
          </cell>
        </row>
        <row r="549">
          <cell r="B549" t="str">
            <v>LAO-809-G11-H</v>
          </cell>
          <cell r="C549" t="str">
            <v>Administratively Closed</v>
          </cell>
          <cell r="D549" t="str">
            <v>South East Asia</v>
          </cell>
          <cell r="E549" t="str">
            <v>LAO</v>
          </cell>
          <cell r="F549" t="str">
            <v>Ministry of Health of Lao</v>
          </cell>
        </row>
        <row r="550">
          <cell r="B550" t="str">
            <v>LAO-H-GFMOH</v>
          </cell>
          <cell r="C550" t="str">
            <v>Active</v>
          </cell>
          <cell r="D550" t="str">
            <v>South East Asia</v>
          </cell>
          <cell r="E550" t="str">
            <v>LAO</v>
          </cell>
          <cell r="F550" t="str">
            <v>Ministry of Health of Lao</v>
          </cell>
        </row>
        <row r="551">
          <cell r="B551" t="str">
            <v>LAO-T-GFMOH</v>
          </cell>
          <cell r="C551" t="str">
            <v>Active</v>
          </cell>
          <cell r="D551" t="str">
            <v>South East Asia</v>
          </cell>
          <cell r="E551" t="str">
            <v>LAO</v>
          </cell>
          <cell r="F551" t="str">
            <v>Ministry of Health of Lao</v>
          </cell>
        </row>
        <row r="552">
          <cell r="B552" t="str">
            <v>LSO-202-G01-H-00</v>
          </cell>
          <cell r="C552" t="str">
            <v>Administratively Closed</v>
          </cell>
          <cell r="D552" t="str">
            <v>Southern and Eastern Africa</v>
          </cell>
          <cell r="E552" t="str">
            <v>LSO</v>
          </cell>
          <cell r="F552" t="str">
            <v>Ministry of Finance, Lesotho</v>
          </cell>
        </row>
        <row r="553">
          <cell r="B553" t="str">
            <v>LSO-202-G02-T-00</v>
          </cell>
          <cell r="C553" t="str">
            <v>Administratively Closed</v>
          </cell>
          <cell r="D553" t="str">
            <v>Southern and Eastern Africa</v>
          </cell>
          <cell r="E553" t="str">
            <v>LSO</v>
          </cell>
          <cell r="F553" t="str">
            <v>Ministry of Finance, Lesotho</v>
          </cell>
        </row>
        <row r="554">
          <cell r="B554" t="str">
            <v>LSO-506-G03-H</v>
          </cell>
          <cell r="C554" t="str">
            <v>Administratively Closed</v>
          </cell>
          <cell r="D554" t="str">
            <v>Southern and Eastern Africa</v>
          </cell>
          <cell r="E554" t="str">
            <v>LSO</v>
          </cell>
          <cell r="F554" t="str">
            <v>Ministry of Finance, Lesotho</v>
          </cell>
        </row>
        <row r="555">
          <cell r="B555" t="str">
            <v>LSO-607-G04-T</v>
          </cell>
          <cell r="C555" t="str">
            <v>Administratively Closed</v>
          </cell>
          <cell r="D555" t="str">
            <v>Southern and Eastern Africa</v>
          </cell>
          <cell r="E555" t="str">
            <v>LSO</v>
          </cell>
          <cell r="F555" t="str">
            <v>Ministry of Finance, Lesotho</v>
          </cell>
        </row>
        <row r="556">
          <cell r="B556" t="str">
            <v>LSO-708-G05-H</v>
          </cell>
          <cell r="C556" t="str">
            <v>Administratively Closed</v>
          </cell>
          <cell r="D556" t="str">
            <v>Southern and Eastern Africa</v>
          </cell>
          <cell r="E556" t="str">
            <v>LSO</v>
          </cell>
          <cell r="F556" t="str">
            <v>Ministry of Finance, Lesotho</v>
          </cell>
        </row>
        <row r="557">
          <cell r="B557" t="str">
            <v>LSO-809-G06-H</v>
          </cell>
          <cell r="C557" t="str">
            <v>Active</v>
          </cell>
          <cell r="D557" t="str">
            <v>Southern and Eastern Africa</v>
          </cell>
          <cell r="E557" t="str">
            <v>LSO</v>
          </cell>
          <cell r="F557" t="str">
            <v>Ministry of Finance, Lesotho</v>
          </cell>
        </row>
        <row r="558">
          <cell r="B558" t="str">
            <v>LSO-809-G07-H</v>
          </cell>
          <cell r="C558" t="str">
            <v>Financial Closure</v>
          </cell>
          <cell r="D558" t="str">
            <v>Southern and Eastern Africa</v>
          </cell>
          <cell r="E558" t="str">
            <v>LSO</v>
          </cell>
          <cell r="F558" t="str">
            <v>Lesotho Council of Non-Governmental Organizations</v>
          </cell>
        </row>
        <row r="559">
          <cell r="B559" t="str">
            <v>LSO-810-G08-T</v>
          </cell>
          <cell r="C559" t="str">
            <v>Active</v>
          </cell>
          <cell r="D559" t="str">
            <v>Southern and Eastern Africa</v>
          </cell>
          <cell r="E559" t="str">
            <v>LSO</v>
          </cell>
          <cell r="F559" t="str">
            <v>Ministry of Finance, Lesotho</v>
          </cell>
        </row>
        <row r="560">
          <cell r="B560" t="str">
            <v>LSO-813-G09-H</v>
          </cell>
          <cell r="C560" t="str">
            <v>Active</v>
          </cell>
          <cell r="D560" t="str">
            <v>Southern and Eastern Africa</v>
          </cell>
          <cell r="E560" t="str">
            <v>LSO</v>
          </cell>
          <cell r="F560" t="str">
            <v>Ministry of Finance, Lesotho</v>
          </cell>
        </row>
        <row r="561">
          <cell r="B561" t="str">
            <v>LSO-910-G09-H</v>
          </cell>
          <cell r="C561" t="str">
            <v>Administratively Closed</v>
          </cell>
          <cell r="D561" t="str">
            <v>Southern and Eastern Africa</v>
          </cell>
          <cell r="E561" t="str">
            <v>LSO</v>
          </cell>
          <cell r="F561" t="str">
            <v>Ministry of Finance, Lesotho</v>
          </cell>
        </row>
        <row r="562">
          <cell r="B562" t="str">
            <v>LSO-H-MoFDP</v>
          </cell>
          <cell r="C562" t="str">
            <v>Active</v>
          </cell>
          <cell r="D562" t="str">
            <v>Southern and Eastern Africa</v>
          </cell>
          <cell r="E562" t="str">
            <v>LSO</v>
          </cell>
          <cell r="F562" t="str">
            <v>Ministry of Finance, Lesotho</v>
          </cell>
        </row>
        <row r="563">
          <cell r="B563" t="str">
            <v>LSO-H-PACT</v>
          </cell>
          <cell r="C563" t="str">
            <v>N.D.</v>
          </cell>
          <cell r="D563" t="str">
            <v>Southern and Eastern Africa</v>
          </cell>
          <cell r="E563" t="str">
            <v>LSO</v>
          </cell>
          <cell r="F563" t="str">
            <v>Not Defined</v>
          </cell>
        </row>
        <row r="564">
          <cell r="B564" t="str">
            <v>LBR-202-G01-H-00</v>
          </cell>
          <cell r="C564" t="str">
            <v>Administratively Closed</v>
          </cell>
          <cell r="D564" t="str">
            <v>Central Africa</v>
          </cell>
          <cell r="E564" t="str">
            <v>LBR</v>
          </cell>
          <cell r="F564" t="str">
            <v>United Nations Development Programme, Liberia</v>
          </cell>
        </row>
        <row r="565">
          <cell r="B565" t="str">
            <v>LBR-202-G02-T-00</v>
          </cell>
          <cell r="C565" t="str">
            <v>Administratively Closed</v>
          </cell>
          <cell r="D565" t="str">
            <v>Central Africa</v>
          </cell>
          <cell r="E565" t="str">
            <v>LBR</v>
          </cell>
          <cell r="F565" t="str">
            <v>United Nations Development Programme, Liberia</v>
          </cell>
        </row>
        <row r="566">
          <cell r="B566" t="str">
            <v>LBR-304-G03-M</v>
          </cell>
          <cell r="C566" t="str">
            <v>Administratively Closed</v>
          </cell>
          <cell r="D566" t="str">
            <v>Central Africa</v>
          </cell>
          <cell r="E566" t="str">
            <v>LBR</v>
          </cell>
          <cell r="F566" t="str">
            <v>United Nations Development Programme, Liberia</v>
          </cell>
        </row>
        <row r="567">
          <cell r="B567" t="str">
            <v>LBR-607-G04-H</v>
          </cell>
          <cell r="C567" t="str">
            <v>Administratively Closed</v>
          </cell>
          <cell r="D567" t="str">
            <v>Central Africa</v>
          </cell>
          <cell r="E567" t="str">
            <v>LBR</v>
          </cell>
          <cell r="F567" t="str">
            <v>United Nations Development Programme, Liberia</v>
          </cell>
        </row>
        <row r="568">
          <cell r="B568" t="str">
            <v>LBR-708-G05-M</v>
          </cell>
          <cell r="C568" t="str">
            <v>Administratively Closed</v>
          </cell>
          <cell r="D568" t="str">
            <v>Central Africa</v>
          </cell>
          <cell r="E568" t="str">
            <v>LBR</v>
          </cell>
          <cell r="F568" t="str">
            <v>United Nations Development Programme, Liberia</v>
          </cell>
        </row>
        <row r="569">
          <cell r="B569" t="str">
            <v>LBR-708-G06-T</v>
          </cell>
          <cell r="C569" t="str">
            <v>Administratively Closed</v>
          </cell>
          <cell r="D569" t="str">
            <v>Central Africa</v>
          </cell>
          <cell r="E569" t="str">
            <v>LBR</v>
          </cell>
          <cell r="F569" t="str">
            <v>United Nations Development Programme, Liberia</v>
          </cell>
        </row>
        <row r="570">
          <cell r="B570" t="str">
            <v>LBR-810-G07-H</v>
          </cell>
          <cell r="C570" t="str">
            <v>Active</v>
          </cell>
          <cell r="D570" t="str">
            <v>Central Africa</v>
          </cell>
          <cell r="E570" t="str">
            <v>LBR</v>
          </cell>
          <cell r="F570" t="str">
            <v>Ministry of Health and Social Welfare of Liberia</v>
          </cell>
        </row>
        <row r="571">
          <cell r="B571" t="str">
            <v>LBR-M-MOH</v>
          </cell>
          <cell r="C571" t="str">
            <v>Active</v>
          </cell>
          <cell r="D571" t="str">
            <v>Central Africa</v>
          </cell>
          <cell r="E571" t="str">
            <v>LBR</v>
          </cell>
          <cell r="F571" t="str">
            <v>Ministry of Health and Social Welfare of Liberia</v>
          </cell>
        </row>
        <row r="572">
          <cell r="B572" t="str">
            <v>LBR-M-PII</v>
          </cell>
          <cell r="C572" t="str">
            <v>Active</v>
          </cell>
          <cell r="D572" t="str">
            <v>Central Africa</v>
          </cell>
          <cell r="E572" t="str">
            <v>LBR</v>
          </cell>
          <cell r="F572" t="str">
            <v>Plan International Liberia</v>
          </cell>
        </row>
        <row r="573">
          <cell r="B573" t="str">
            <v>LBR-T-MOH</v>
          </cell>
          <cell r="C573" t="str">
            <v>Active</v>
          </cell>
          <cell r="D573" t="str">
            <v>Central Africa</v>
          </cell>
          <cell r="E573" t="str">
            <v>LBR</v>
          </cell>
          <cell r="F573" t="str">
            <v>Ministry of Health and Social Welfare of Liberia</v>
          </cell>
        </row>
        <row r="574">
          <cell r="B574" t="str">
            <v>WRL-102-G01-H-00</v>
          </cell>
          <cell r="C574" t="str">
            <v>Administratively Closed</v>
          </cell>
          <cell r="D574" t="str">
            <v>Eastern Europe and Central Asia</v>
          </cell>
          <cell r="E574" t="str">
            <v>QMA</v>
          </cell>
          <cell r="F574" t="str">
            <v>Lutheran World Federation</v>
          </cell>
        </row>
        <row r="575">
          <cell r="B575" t="str">
            <v>MKD-011-G04-T</v>
          </cell>
          <cell r="C575" t="str">
            <v>Active</v>
          </cell>
          <cell r="D575" t="str">
            <v>Eastern Europe and Central Asia</v>
          </cell>
          <cell r="E575" t="str">
            <v>MKD</v>
          </cell>
          <cell r="F575" t="str">
            <v>Ministry of Health of FYR of Macedonia</v>
          </cell>
        </row>
        <row r="576">
          <cell r="B576" t="str">
            <v>MKD-304-G01-H</v>
          </cell>
          <cell r="C576" t="str">
            <v>Administratively Closed</v>
          </cell>
          <cell r="D576" t="str">
            <v>Eastern Europe and Central Asia</v>
          </cell>
          <cell r="E576" t="str">
            <v>MKD</v>
          </cell>
          <cell r="F576" t="str">
            <v>Ministry of Health of FYR of Macedonia</v>
          </cell>
        </row>
        <row r="577">
          <cell r="B577" t="str">
            <v>MKD-506-G02-T</v>
          </cell>
          <cell r="C577" t="str">
            <v>Administratively Closed</v>
          </cell>
          <cell r="D577" t="str">
            <v>Eastern Europe and Central Asia</v>
          </cell>
          <cell r="E577" t="str">
            <v>MKD</v>
          </cell>
          <cell r="F577" t="str">
            <v>Ministry of Health of FYR of Macedonia</v>
          </cell>
        </row>
        <row r="578">
          <cell r="B578" t="str">
            <v>MKD-708-G03-H</v>
          </cell>
          <cell r="C578" t="str">
            <v>Administratively Closed</v>
          </cell>
          <cell r="D578" t="str">
            <v>Eastern Europe and Central Asia</v>
          </cell>
          <cell r="E578" t="str">
            <v>MKD</v>
          </cell>
          <cell r="F578" t="str">
            <v>Ministry of Health of FYR of Macedonia</v>
          </cell>
        </row>
        <row r="579">
          <cell r="B579" t="str">
            <v>MKD-H-MOH</v>
          </cell>
          <cell r="C579" t="str">
            <v>Active</v>
          </cell>
          <cell r="D579" t="str">
            <v>Eastern Europe and Central Asia</v>
          </cell>
          <cell r="E579" t="str">
            <v>MKD</v>
          </cell>
          <cell r="F579" t="str">
            <v>Ministry of Health of FYR of Macedonia</v>
          </cell>
        </row>
        <row r="580">
          <cell r="B580" t="str">
            <v>MDG-102-G01-M-00</v>
          </cell>
          <cell r="C580" t="str">
            <v>Administratively Closed</v>
          </cell>
          <cell r="D580" t="str">
            <v>Southern and Eastern Africa</v>
          </cell>
          <cell r="E580" t="str">
            <v>MDG</v>
          </cell>
          <cell r="F580" t="str">
            <v>Population Services International, USA</v>
          </cell>
        </row>
        <row r="581">
          <cell r="B581" t="str">
            <v>MDG-202-G02-H-00</v>
          </cell>
          <cell r="C581" t="str">
            <v>Administratively Closed</v>
          </cell>
          <cell r="D581" t="str">
            <v>Southern and Eastern Africa</v>
          </cell>
          <cell r="E581" t="str">
            <v>MDG</v>
          </cell>
          <cell r="F581" t="str">
            <v>Catholic Relief Services - Madagascar</v>
          </cell>
        </row>
        <row r="582">
          <cell r="B582" t="str">
            <v>MDG-202-G03-H-00</v>
          </cell>
          <cell r="C582" t="str">
            <v>Administratively Closed</v>
          </cell>
          <cell r="D582" t="str">
            <v>Southern and Eastern Africa</v>
          </cell>
          <cell r="E582" t="str">
            <v>MDG</v>
          </cell>
          <cell r="F582" t="str">
            <v>Population Services International, USA</v>
          </cell>
        </row>
        <row r="583">
          <cell r="B583" t="str">
            <v>MDG-304-G04-H</v>
          </cell>
          <cell r="C583" t="str">
            <v>Financial Closure</v>
          </cell>
          <cell r="D583" t="str">
            <v>Southern and Eastern Africa</v>
          </cell>
          <cell r="E583" t="str">
            <v>MDG</v>
          </cell>
          <cell r="F583" t="str">
            <v>Sécrétariat Exécutif du Comité National de Lutte Contre le VIH/SIDA</v>
          </cell>
        </row>
        <row r="584">
          <cell r="B584" t="str">
            <v>MDG-304-G05-M</v>
          </cell>
          <cell r="C584" t="str">
            <v>Financial Closure</v>
          </cell>
          <cell r="D584" t="str">
            <v>Southern and Eastern Africa</v>
          </cell>
          <cell r="E584" t="str">
            <v>MDG</v>
          </cell>
          <cell r="F584" t="str">
            <v>Unité de Gestion des Projets d'Appui au Secteur Santé</v>
          </cell>
        </row>
        <row r="585">
          <cell r="B585" t="str">
            <v>MDG-404-G08-T</v>
          </cell>
          <cell r="C585" t="str">
            <v>Financial Closure</v>
          </cell>
          <cell r="D585" t="str">
            <v>Southern and Eastern Africa</v>
          </cell>
          <cell r="E585" t="str">
            <v>MDG</v>
          </cell>
          <cell r="F585" t="str">
            <v>Sécrétariat Exécutif du Comité National de Lutte Contre le VIH/SIDA</v>
          </cell>
        </row>
        <row r="586">
          <cell r="B586" t="str">
            <v>MDG-405-G06-M</v>
          </cell>
          <cell r="C586" t="str">
            <v>Administratively Closed</v>
          </cell>
          <cell r="D586" t="str">
            <v>Southern and Eastern Africa</v>
          </cell>
          <cell r="E586" t="str">
            <v>MDG</v>
          </cell>
          <cell r="F586" t="str">
            <v>Unité de Gestion des Projets d'Appui au Secteur Santé</v>
          </cell>
        </row>
        <row r="587">
          <cell r="B587" t="str">
            <v>MDG-405-G07-M</v>
          </cell>
          <cell r="C587" t="str">
            <v>Financial Closure</v>
          </cell>
          <cell r="D587" t="str">
            <v>Southern and Eastern Africa</v>
          </cell>
          <cell r="E587" t="str">
            <v>MDG</v>
          </cell>
          <cell r="F587" t="str">
            <v>Population Services International, USA</v>
          </cell>
        </row>
        <row r="588">
          <cell r="B588" t="str">
            <v>MDG-708-G09-M</v>
          </cell>
          <cell r="C588" t="str">
            <v>Financial Closure</v>
          </cell>
          <cell r="D588" t="str">
            <v>Southern and Eastern Africa</v>
          </cell>
          <cell r="E588" t="str">
            <v>MDG</v>
          </cell>
          <cell r="F588" t="str">
            <v>Unité de Gestion des Projets d'Appui au Secteur Santé</v>
          </cell>
        </row>
        <row r="589">
          <cell r="B589" t="str">
            <v>MDG-708-G10-M</v>
          </cell>
          <cell r="C589" t="str">
            <v>Financial Closure</v>
          </cell>
          <cell r="D589" t="str">
            <v>Southern and Eastern Africa</v>
          </cell>
          <cell r="E589" t="str">
            <v>MDG</v>
          </cell>
          <cell r="F589" t="str">
            <v>Population Services International, USA</v>
          </cell>
        </row>
        <row r="590">
          <cell r="B590" t="str">
            <v>MDG-809-G11-H</v>
          </cell>
          <cell r="C590" t="str">
            <v>Active</v>
          </cell>
          <cell r="D590" t="str">
            <v>Southern and Eastern Africa</v>
          </cell>
          <cell r="E590" t="str">
            <v>MDG</v>
          </cell>
          <cell r="F590" t="str">
            <v>Sécrétariat Exécutif du Comité National de Lutte Contre le VIH/SIDA</v>
          </cell>
        </row>
        <row r="591">
          <cell r="B591" t="str">
            <v>MDG-809-G12-H</v>
          </cell>
          <cell r="C591" t="str">
            <v>Active</v>
          </cell>
          <cell r="D591" t="str">
            <v>Southern and Eastern Africa</v>
          </cell>
          <cell r="E591" t="str">
            <v>MDG</v>
          </cell>
          <cell r="F591" t="str">
            <v>Population Services International, USA</v>
          </cell>
        </row>
        <row r="592">
          <cell r="B592" t="str">
            <v>MDG-810-G13-T</v>
          </cell>
          <cell r="C592" t="str">
            <v>Active</v>
          </cell>
          <cell r="D592" t="str">
            <v>Southern and Eastern Africa</v>
          </cell>
          <cell r="E592" t="str">
            <v>MDG</v>
          </cell>
          <cell r="F592" t="str">
            <v>Office National de Nutrition</v>
          </cell>
        </row>
        <row r="593">
          <cell r="B593" t="str">
            <v>MDG-810-G14-T</v>
          </cell>
          <cell r="C593" t="str">
            <v>Active</v>
          </cell>
          <cell r="D593" t="str">
            <v>Southern and Eastern Africa</v>
          </cell>
          <cell r="E593" t="str">
            <v>MDG</v>
          </cell>
          <cell r="F593" t="str">
            <v>Pact Madagascar</v>
          </cell>
        </row>
        <row r="594">
          <cell r="B594" t="str">
            <v>MDG-910-G15-M</v>
          </cell>
          <cell r="C594" t="str">
            <v>Financial Closure</v>
          </cell>
          <cell r="D594" t="str">
            <v>Southern and Eastern Africa</v>
          </cell>
          <cell r="E594" t="str">
            <v>MDG</v>
          </cell>
          <cell r="F594" t="str">
            <v>Centrale d'Achat des Medicaments Essentiels et de Materiel Medical</v>
          </cell>
        </row>
        <row r="595">
          <cell r="B595" t="str">
            <v>MDG-910-G16-M</v>
          </cell>
          <cell r="C595" t="str">
            <v>Financial Closure</v>
          </cell>
          <cell r="D595" t="str">
            <v>Southern and Eastern Africa</v>
          </cell>
          <cell r="E595" t="str">
            <v>MDG</v>
          </cell>
          <cell r="F595" t="str">
            <v>Centrale d'Achat des Medicaments Essentiels et de Materiel Medical</v>
          </cell>
        </row>
        <row r="596">
          <cell r="B596" t="str">
            <v>MDG-910-G17-M</v>
          </cell>
          <cell r="C596" t="str">
            <v>Financial Closure</v>
          </cell>
          <cell r="D596" t="str">
            <v>Southern and Eastern Africa</v>
          </cell>
          <cell r="E596" t="str">
            <v>MDG</v>
          </cell>
          <cell r="F596" t="str">
            <v>Unité de Gestion des Projets d'Appui au Secteur Santé</v>
          </cell>
        </row>
        <row r="597">
          <cell r="B597" t="str">
            <v>MDG-910-G18-M</v>
          </cell>
          <cell r="C597" t="str">
            <v>Financial Closure</v>
          </cell>
          <cell r="D597" t="str">
            <v>Southern and Eastern Africa</v>
          </cell>
          <cell r="E597" t="str">
            <v>MDG</v>
          </cell>
          <cell r="F597" t="str">
            <v>Association Intercooperation Madagascar (AIM)</v>
          </cell>
        </row>
        <row r="598">
          <cell r="B598" t="str">
            <v>MDG-910-G19-M</v>
          </cell>
          <cell r="C598" t="str">
            <v>Active</v>
          </cell>
          <cell r="D598" t="str">
            <v>Southern and Eastern Africa</v>
          </cell>
          <cell r="E598" t="str">
            <v>MDG</v>
          </cell>
          <cell r="F598" t="str">
            <v>Pact Madagascar</v>
          </cell>
        </row>
        <row r="599">
          <cell r="B599" t="str">
            <v>MDG-M-PSI</v>
          </cell>
          <cell r="C599" t="str">
            <v>Active</v>
          </cell>
          <cell r="D599" t="str">
            <v>Southern and Eastern Africa</v>
          </cell>
          <cell r="E599" t="str">
            <v>MDG</v>
          </cell>
          <cell r="F599" t="str">
            <v>Population Services International, Madagascar</v>
          </cell>
        </row>
        <row r="600">
          <cell r="B600" t="str">
            <v>MLW-102-G01-H-00</v>
          </cell>
          <cell r="C600" t="str">
            <v>Financial Closure</v>
          </cell>
          <cell r="D600" t="str">
            <v>Southern and Eastern Africa</v>
          </cell>
          <cell r="E600" t="str">
            <v>MWI</v>
          </cell>
          <cell r="F600" t="str">
            <v>National AIDS Commission, Malawi</v>
          </cell>
        </row>
        <row r="601">
          <cell r="B601" t="str">
            <v>MLW-202-G02-M-00</v>
          </cell>
          <cell r="C601" t="str">
            <v>Administratively Closed</v>
          </cell>
          <cell r="D601" t="str">
            <v>Southern and Eastern Africa</v>
          </cell>
          <cell r="E601" t="str">
            <v>MWI</v>
          </cell>
          <cell r="F601" t="str">
            <v>Ministry of Health of Malawi</v>
          </cell>
        </row>
        <row r="602">
          <cell r="B602" t="str">
            <v>MLW-506-G03-H</v>
          </cell>
          <cell r="C602" t="str">
            <v>Financial Closure</v>
          </cell>
          <cell r="D602" t="str">
            <v>Southern and Eastern Africa</v>
          </cell>
          <cell r="E602" t="str">
            <v>MWI</v>
          </cell>
          <cell r="F602" t="str">
            <v>National AIDS Commission, Malawi</v>
          </cell>
        </row>
        <row r="603">
          <cell r="B603" t="str">
            <v>MLW-506-G04-S</v>
          </cell>
          <cell r="C603" t="str">
            <v>Administratively Closed</v>
          </cell>
          <cell r="D603" t="str">
            <v>Southern and Eastern Africa</v>
          </cell>
          <cell r="E603" t="str">
            <v>MWI</v>
          </cell>
          <cell r="F603" t="str">
            <v>Ministry of Health of Malawi</v>
          </cell>
        </row>
        <row r="604">
          <cell r="B604" t="str">
            <v>MLW-708-G05-M</v>
          </cell>
          <cell r="C604" t="str">
            <v>Financial Closure</v>
          </cell>
          <cell r="D604" t="str">
            <v>Southern and Eastern Africa</v>
          </cell>
          <cell r="E604" t="str">
            <v>MWI</v>
          </cell>
          <cell r="F604" t="str">
            <v>Ministry of Health of Malawi</v>
          </cell>
        </row>
        <row r="605">
          <cell r="B605" t="str">
            <v>MLW-708-G06-T</v>
          </cell>
          <cell r="C605" t="str">
            <v>Active</v>
          </cell>
          <cell r="D605" t="str">
            <v>Southern and Eastern Africa</v>
          </cell>
          <cell r="E605" t="str">
            <v>MWI</v>
          </cell>
          <cell r="F605" t="str">
            <v>Ministry of Health of Malawi</v>
          </cell>
        </row>
        <row r="606">
          <cell r="B606" t="str">
            <v>MLW-708-G07-H</v>
          </cell>
          <cell r="C606" t="str">
            <v>Administratively Closed</v>
          </cell>
          <cell r="D606" t="str">
            <v>Southern and Eastern Africa</v>
          </cell>
          <cell r="E606" t="str">
            <v>MWI</v>
          </cell>
          <cell r="F606" t="str">
            <v>National AIDS Commission, Malawi</v>
          </cell>
        </row>
        <row r="607">
          <cell r="B607" t="str">
            <v>MLW-911-G08-M</v>
          </cell>
          <cell r="C607" t="str">
            <v>Active</v>
          </cell>
          <cell r="D607" t="str">
            <v>Southern and Eastern Africa</v>
          </cell>
          <cell r="E607" t="str">
            <v>MWI</v>
          </cell>
          <cell r="F607" t="str">
            <v>Ministry of Health of Malawi</v>
          </cell>
        </row>
        <row r="608">
          <cell r="B608" t="str">
            <v>MLW-H-NAC</v>
          </cell>
          <cell r="C608" t="str">
            <v>Active</v>
          </cell>
          <cell r="D608" t="str">
            <v>Southern and Eastern Africa</v>
          </cell>
          <cell r="E608" t="str">
            <v>MWI</v>
          </cell>
          <cell r="F608" t="str">
            <v>National AIDS Commission, Malawi</v>
          </cell>
        </row>
        <row r="609">
          <cell r="B609" t="str">
            <v>MYS-H-MAC</v>
          </cell>
          <cell r="C609" t="str">
            <v>Active</v>
          </cell>
          <cell r="D609" t="str">
            <v>South East Asia</v>
          </cell>
          <cell r="E609" t="str">
            <v>MYS</v>
          </cell>
          <cell r="F609" t="str">
            <v>Malaysian AIDS Council</v>
          </cell>
        </row>
        <row r="610">
          <cell r="B610" t="str">
            <v>MDV-607-G01-H</v>
          </cell>
          <cell r="C610" t="str">
            <v>Administratively Closed</v>
          </cell>
          <cell r="D610" t="str">
            <v>South East Asia</v>
          </cell>
          <cell r="E610" t="str">
            <v>MDV</v>
          </cell>
          <cell r="F610" t="str">
            <v>United Nations Development Programme, Maldives</v>
          </cell>
        </row>
        <row r="611">
          <cell r="B611" t="str">
            <v>MAL-013-G10-T</v>
          </cell>
          <cell r="C611" t="str">
            <v>Active</v>
          </cell>
          <cell r="D611" t="str">
            <v>Western Africa</v>
          </cell>
          <cell r="E611" t="str">
            <v>MLI</v>
          </cell>
          <cell r="F611" t="str">
            <v>Catholic Relief Services USCCB - Mali</v>
          </cell>
        </row>
        <row r="612">
          <cell r="B612" t="str">
            <v>MAL-102-G01-M-00</v>
          </cell>
          <cell r="C612" t="str">
            <v>Administratively Closed</v>
          </cell>
          <cell r="D612" t="str">
            <v>Western Africa</v>
          </cell>
          <cell r="E612" t="str">
            <v>MLI</v>
          </cell>
          <cell r="F612" t="str">
            <v>Ministry of Health of Mali</v>
          </cell>
        </row>
        <row r="613">
          <cell r="B613" t="str">
            <v>MAL-405-G02-H</v>
          </cell>
          <cell r="C613" t="str">
            <v>Financial Closure</v>
          </cell>
          <cell r="D613" t="str">
            <v>Western Africa</v>
          </cell>
          <cell r="E613" t="str">
            <v>MLI</v>
          </cell>
          <cell r="F613" t="str">
            <v>National High Council for HIV/AIDS control of Mali</v>
          </cell>
        </row>
        <row r="614">
          <cell r="B614" t="str">
            <v>MAL-405-G03-T</v>
          </cell>
          <cell r="C614" t="str">
            <v>Financial Closure</v>
          </cell>
          <cell r="D614" t="str">
            <v>Western Africa</v>
          </cell>
          <cell r="E614" t="str">
            <v>MLI</v>
          </cell>
          <cell r="F614" t="str">
            <v>Ministry of Health of Mali</v>
          </cell>
        </row>
        <row r="615">
          <cell r="B615" t="str">
            <v>MAL-607-G04-M</v>
          </cell>
          <cell r="C615" t="str">
            <v>Financial Closure</v>
          </cell>
          <cell r="D615" t="str">
            <v>Western Africa</v>
          </cell>
          <cell r="E615" t="str">
            <v>MLI</v>
          </cell>
          <cell r="F615" t="str">
            <v>Ministry of Health of Mali</v>
          </cell>
        </row>
        <row r="616">
          <cell r="B616" t="str">
            <v>MAL-607-G05-M</v>
          </cell>
          <cell r="C616" t="str">
            <v>Financial Closure</v>
          </cell>
          <cell r="D616" t="str">
            <v>Western Africa</v>
          </cell>
          <cell r="E616" t="str">
            <v>MLI</v>
          </cell>
          <cell r="F616" t="str">
            <v>Groupe Pivot Santé Population</v>
          </cell>
        </row>
        <row r="617">
          <cell r="B617" t="str">
            <v>MAL-708-G06-T</v>
          </cell>
          <cell r="C617" t="str">
            <v>Financial Closure</v>
          </cell>
          <cell r="D617" t="str">
            <v>Western Africa</v>
          </cell>
          <cell r="E617" t="str">
            <v>MLI</v>
          </cell>
          <cell r="F617" t="str">
            <v>Ministry of Health of Mali</v>
          </cell>
        </row>
        <row r="618">
          <cell r="B618" t="str">
            <v>MAL-809-G07-H</v>
          </cell>
          <cell r="C618" t="str">
            <v>Financial Closure</v>
          </cell>
          <cell r="D618" t="str">
            <v>Western Africa</v>
          </cell>
          <cell r="E618" t="str">
            <v>MLI</v>
          </cell>
          <cell r="F618" t="str">
            <v>Groupe Pivot Santé Population</v>
          </cell>
        </row>
        <row r="619">
          <cell r="B619" t="str">
            <v>MAL-809-G08-H</v>
          </cell>
          <cell r="C619" t="str">
            <v>Financial Closure</v>
          </cell>
          <cell r="D619" t="str">
            <v>Western Africa</v>
          </cell>
          <cell r="E619" t="str">
            <v>MLI</v>
          </cell>
          <cell r="F619" t="str">
            <v>National High Council for HIV/AIDS control of Mali</v>
          </cell>
        </row>
        <row r="620">
          <cell r="B620" t="str">
            <v>MAL-812-G09-H</v>
          </cell>
          <cell r="C620" t="str">
            <v>Active</v>
          </cell>
          <cell r="D620" t="str">
            <v>Western Africa</v>
          </cell>
          <cell r="E620" t="str">
            <v>MLI</v>
          </cell>
          <cell r="F620" t="str">
            <v>United Nations Development Program, Mali</v>
          </cell>
        </row>
        <row r="621">
          <cell r="B621" t="str">
            <v>MAL-813-G11-H</v>
          </cell>
          <cell r="C621" t="str">
            <v>Active</v>
          </cell>
          <cell r="D621" t="str">
            <v>Western Africa</v>
          </cell>
          <cell r="E621" t="str">
            <v>MLI</v>
          </cell>
          <cell r="F621" t="str">
            <v>Plan International Mali</v>
          </cell>
        </row>
        <row r="622">
          <cell r="B622" t="str">
            <v>MAL-M-PSI</v>
          </cell>
          <cell r="C622" t="str">
            <v>Active</v>
          </cell>
          <cell r="D622" t="str">
            <v>Western Africa</v>
          </cell>
          <cell r="E622" t="str">
            <v>MLI</v>
          </cell>
          <cell r="F622" t="str">
            <v>Population Services International, USA</v>
          </cell>
        </row>
        <row r="623">
          <cell r="B623" t="str">
            <v>MRT-202-G01-T-00</v>
          </cell>
          <cell r="C623" t="str">
            <v>Financial Closure</v>
          </cell>
          <cell r="D623" t="str">
            <v>Middle East and North Africa</v>
          </cell>
          <cell r="E623" t="str">
            <v>MRT</v>
          </cell>
          <cell r="F623" t="str">
            <v>United Nations Development Programme, Mauritania</v>
          </cell>
        </row>
        <row r="624">
          <cell r="B624" t="str">
            <v>MRT-202-G02-M-00</v>
          </cell>
          <cell r="C624" t="str">
            <v>Financial Closure</v>
          </cell>
          <cell r="D624" t="str">
            <v>Middle East and North Africa</v>
          </cell>
          <cell r="E624" t="str">
            <v>MRT</v>
          </cell>
          <cell r="F624" t="str">
            <v>United Nations Development Programme, Mauritania</v>
          </cell>
        </row>
        <row r="625">
          <cell r="B625" t="str">
            <v>MRT-506-G03-H</v>
          </cell>
          <cell r="C625" t="str">
            <v>Active</v>
          </cell>
          <cell r="D625" t="str">
            <v>Middle East and North Africa</v>
          </cell>
          <cell r="E625" t="str">
            <v>MRT</v>
          </cell>
          <cell r="F625" t="str">
            <v>Comite National de Lutte contre le VIH/SIDA, Mauritania</v>
          </cell>
        </row>
        <row r="626">
          <cell r="B626" t="str">
            <v>MRT-607-G04-M</v>
          </cell>
          <cell r="C626" t="str">
            <v>Financial Closure</v>
          </cell>
          <cell r="D626" t="str">
            <v>Middle East and North Africa</v>
          </cell>
          <cell r="E626" t="str">
            <v>MRT</v>
          </cell>
          <cell r="F626" t="str">
            <v>United Nations Development Programme, Mauritania</v>
          </cell>
        </row>
        <row r="627">
          <cell r="B627" t="str">
            <v>MRT-607-G05-T</v>
          </cell>
          <cell r="C627" t="str">
            <v>Financial Closure</v>
          </cell>
          <cell r="D627" t="str">
            <v>Middle East and North Africa</v>
          </cell>
          <cell r="E627" t="str">
            <v>MRT</v>
          </cell>
          <cell r="F627" t="str">
            <v>United Nations Development Programme, Mauritania</v>
          </cell>
        </row>
        <row r="628">
          <cell r="B628" t="str">
            <v>MUS-809-G01-H</v>
          </cell>
          <cell r="C628" t="str">
            <v>Active</v>
          </cell>
          <cell r="D628" t="str">
            <v>Southern and Eastern Africa</v>
          </cell>
          <cell r="E628" t="str">
            <v>MUS</v>
          </cell>
          <cell r="F628" t="str">
            <v>National AIDS Secretariat, Mauritius</v>
          </cell>
        </row>
        <row r="629">
          <cell r="B629" t="str">
            <v>MUS-809-G02-H</v>
          </cell>
          <cell r="C629" t="str">
            <v>Administratively Closed</v>
          </cell>
          <cell r="D629" t="str">
            <v>Southern and Eastern Africa</v>
          </cell>
          <cell r="E629" t="str">
            <v>MUS</v>
          </cell>
          <cell r="F629" t="str">
            <v>Mauritius Family Planning and Welfare Association</v>
          </cell>
        </row>
        <row r="630">
          <cell r="B630" t="str">
            <v>MUS-812-G03-H</v>
          </cell>
          <cell r="C630" t="str">
            <v>Active</v>
          </cell>
          <cell r="D630" t="str">
            <v>Southern and Eastern Africa</v>
          </cell>
          <cell r="E630" t="str">
            <v>MUS</v>
          </cell>
          <cell r="F630" t="str">
            <v>Prévention Information Lutte contre le Sida</v>
          </cell>
        </row>
        <row r="631">
          <cell r="B631" t="str">
            <v>MEX-910-G01-H</v>
          </cell>
          <cell r="C631" t="str">
            <v>Administratively Closed</v>
          </cell>
          <cell r="D631" t="str">
            <v>Latin America and Caribbean</v>
          </cell>
          <cell r="E631" t="str">
            <v>MEX</v>
          </cell>
          <cell r="F631" t="str">
            <v>Fundacion Mexicana para la salud A.C.</v>
          </cell>
        </row>
        <row r="632">
          <cell r="B632" t="str">
            <v>MDA-H-PAS</v>
          </cell>
          <cell r="C632" t="str">
            <v>Active</v>
          </cell>
          <cell r="D632" t="str">
            <v>Eastern Europe and Central Asia</v>
          </cell>
          <cell r="E632" t="str">
            <v>MDA</v>
          </cell>
          <cell r="F632" t="str">
            <v>Center for Health Policies and Studies (PAS Center)</v>
          </cell>
        </row>
        <row r="633">
          <cell r="B633" t="str">
            <v>MDA-H-PCIMU</v>
          </cell>
          <cell r="C633" t="str">
            <v>Active</v>
          </cell>
          <cell r="D633" t="str">
            <v>Eastern Europe and Central Asia</v>
          </cell>
          <cell r="E633" t="str">
            <v>MDA</v>
          </cell>
          <cell r="F633" t="str">
            <v>Health System Restructuring Project - Coordination, Implementation, Monitoring Unit</v>
          </cell>
        </row>
        <row r="634">
          <cell r="B634" t="str">
            <v>MDA-T-PAS</v>
          </cell>
          <cell r="C634" t="str">
            <v>N.D.</v>
          </cell>
          <cell r="D634" t="str">
            <v>Eastern Europe and Central Asia</v>
          </cell>
          <cell r="E634" t="str">
            <v>MDA</v>
          </cell>
          <cell r="F634" t="str">
            <v>Not Defined</v>
          </cell>
        </row>
        <row r="635">
          <cell r="B635" t="str">
            <v>MDA-T-PCIMU</v>
          </cell>
          <cell r="C635" t="str">
            <v>Active</v>
          </cell>
          <cell r="D635" t="str">
            <v>Eastern Europe and Central Asia</v>
          </cell>
          <cell r="E635" t="str">
            <v>MDA</v>
          </cell>
          <cell r="F635" t="str">
            <v>Health System Restructuring Project - Coordination, Implementation, Monitoring Unit</v>
          </cell>
        </row>
        <row r="636">
          <cell r="B636" t="str">
            <v>MOL-102-G01-C-00</v>
          </cell>
          <cell r="C636" t="str">
            <v>Administratively Closed</v>
          </cell>
          <cell r="D636" t="str">
            <v>Eastern Europe and Central Asia</v>
          </cell>
          <cell r="E636" t="str">
            <v>MDA</v>
          </cell>
          <cell r="F636" t="str">
            <v>Health System Restructuring Project - Coordination, Implementation, Monitoring Unit</v>
          </cell>
        </row>
        <row r="637">
          <cell r="B637" t="str">
            <v>MOL-607-G02-T</v>
          </cell>
          <cell r="C637" t="str">
            <v>Administratively Closed</v>
          </cell>
          <cell r="D637" t="str">
            <v>Eastern Europe and Central Asia</v>
          </cell>
          <cell r="E637" t="str">
            <v>MDA</v>
          </cell>
          <cell r="F637" t="str">
            <v>Health System Restructuring Project - Coordination, Implementation, Monitoring Unit</v>
          </cell>
        </row>
        <row r="638">
          <cell r="B638" t="str">
            <v>MOL-607-G03-H</v>
          </cell>
          <cell r="C638" t="str">
            <v>Administratively Closed</v>
          </cell>
          <cell r="D638" t="str">
            <v>Eastern Europe and Central Asia</v>
          </cell>
          <cell r="E638" t="str">
            <v>MDA</v>
          </cell>
          <cell r="F638" t="str">
            <v>Health System Restructuring Project - Coordination, Implementation, Monitoring Unit</v>
          </cell>
        </row>
        <row r="639">
          <cell r="B639" t="str">
            <v>MOL-809-G04-T</v>
          </cell>
          <cell r="C639" t="str">
            <v>Administratively Closed</v>
          </cell>
          <cell r="D639" t="str">
            <v>Eastern Europe and Central Asia</v>
          </cell>
          <cell r="E639" t="str">
            <v>MDA</v>
          </cell>
          <cell r="F639" t="str">
            <v>Health System Restructuring Project - Coordination, Implementation, Monitoring Unit</v>
          </cell>
        </row>
        <row r="640">
          <cell r="B640" t="str">
            <v>MOL-809-G05-T</v>
          </cell>
          <cell r="C640" t="str">
            <v>Administratively Closed</v>
          </cell>
          <cell r="D640" t="str">
            <v>Eastern Europe and Central Asia</v>
          </cell>
          <cell r="E640" t="str">
            <v>MDA</v>
          </cell>
          <cell r="F640" t="str">
            <v>Center for Health Policies and Studies (PAS Center)</v>
          </cell>
        </row>
        <row r="641">
          <cell r="B641" t="str">
            <v>MOL-H-PAS</v>
          </cell>
          <cell r="C641" t="str">
            <v>Financially Closed</v>
          </cell>
          <cell r="D641" t="str">
            <v>Eastern Europe and Central Asia</v>
          </cell>
          <cell r="E641" t="str">
            <v>MDA</v>
          </cell>
          <cell r="F641" t="str">
            <v>Center for Health Policies and Studies (PAS Center)</v>
          </cell>
        </row>
        <row r="642">
          <cell r="B642" t="str">
            <v>MOL-T-PAS</v>
          </cell>
          <cell r="C642" t="str">
            <v>Active</v>
          </cell>
          <cell r="D642" t="str">
            <v>Eastern Europe and Central Asia</v>
          </cell>
          <cell r="E642" t="str">
            <v>MDA</v>
          </cell>
          <cell r="F642" t="str">
            <v>Center for Health Policies and Studies (PAS Center)</v>
          </cell>
        </row>
        <row r="643">
          <cell r="B643" t="str">
            <v>MNG-H-MOH</v>
          </cell>
          <cell r="C643" t="str">
            <v>Active</v>
          </cell>
          <cell r="D643" t="str">
            <v>South East Asia</v>
          </cell>
          <cell r="E643" t="str">
            <v>MNG</v>
          </cell>
          <cell r="F643" t="str">
            <v>Ministry of Health of Mongolia</v>
          </cell>
        </row>
        <row r="644">
          <cell r="B644" t="str">
            <v>MON-102-G01-T-00</v>
          </cell>
          <cell r="C644" t="str">
            <v>Administratively Closed</v>
          </cell>
          <cell r="D644" t="str">
            <v>South East Asia</v>
          </cell>
          <cell r="E644" t="str">
            <v>MNG</v>
          </cell>
          <cell r="F644" t="str">
            <v>Ministry of Health of Mongolia</v>
          </cell>
        </row>
        <row r="645">
          <cell r="B645" t="str">
            <v>MON-202-G02-H-00</v>
          </cell>
          <cell r="C645" t="str">
            <v>Administratively Closed</v>
          </cell>
          <cell r="D645" t="str">
            <v>South East Asia</v>
          </cell>
          <cell r="E645" t="str">
            <v>MNG</v>
          </cell>
          <cell r="F645" t="str">
            <v>Ministry of Health of Mongolia</v>
          </cell>
        </row>
        <row r="646">
          <cell r="B646" t="str">
            <v>MON-405-G03-T</v>
          </cell>
          <cell r="C646" t="str">
            <v>Administratively Closed</v>
          </cell>
          <cell r="D646" t="str">
            <v>South East Asia</v>
          </cell>
          <cell r="E646" t="str">
            <v>MNG</v>
          </cell>
          <cell r="F646" t="str">
            <v>Ministry of Health of Mongolia</v>
          </cell>
        </row>
        <row r="647">
          <cell r="B647" t="str">
            <v>MON-506-G04-H</v>
          </cell>
          <cell r="C647" t="str">
            <v>Administratively Closed</v>
          </cell>
          <cell r="D647" t="str">
            <v>South East Asia</v>
          </cell>
          <cell r="E647" t="str">
            <v>MNG</v>
          </cell>
          <cell r="F647" t="str">
            <v>Ministry of Health of Mongolia</v>
          </cell>
        </row>
        <row r="648">
          <cell r="B648" t="str">
            <v>MON-708-G05-H</v>
          </cell>
          <cell r="C648" t="str">
            <v>Administratively Closed</v>
          </cell>
          <cell r="D648" t="str">
            <v>South East Asia</v>
          </cell>
          <cell r="E648" t="str">
            <v>MNG</v>
          </cell>
          <cell r="F648" t="str">
            <v>Ministry of Health of Mongolia</v>
          </cell>
        </row>
        <row r="649">
          <cell r="B649" t="str">
            <v>MON-910-G06-S</v>
          </cell>
          <cell r="C649" t="str">
            <v>Administratively Closed</v>
          </cell>
          <cell r="D649" t="str">
            <v>South East Asia</v>
          </cell>
          <cell r="E649" t="str">
            <v>MNG</v>
          </cell>
          <cell r="F649" t="str">
            <v>Ministry of Health of Mongolia</v>
          </cell>
        </row>
        <row r="650">
          <cell r="B650" t="str">
            <v>MON-H-MOH</v>
          </cell>
          <cell r="C650" t="str">
            <v>Active</v>
          </cell>
          <cell r="D650" t="str">
            <v>South East Asia</v>
          </cell>
          <cell r="E650" t="str">
            <v>MNG</v>
          </cell>
          <cell r="F650" t="str">
            <v>Ministry of Health of Mongolia</v>
          </cell>
        </row>
        <row r="651">
          <cell r="B651" t="str">
            <v>MON-S-MOH</v>
          </cell>
          <cell r="C651" t="str">
            <v>Active</v>
          </cell>
          <cell r="D651" t="str">
            <v>South East Asia</v>
          </cell>
          <cell r="E651" t="str">
            <v>MNG</v>
          </cell>
          <cell r="F651" t="str">
            <v>Ministry of Health of Mongolia</v>
          </cell>
        </row>
        <row r="652">
          <cell r="B652" t="str">
            <v>MON-T-MOH</v>
          </cell>
          <cell r="C652" t="str">
            <v>Active</v>
          </cell>
          <cell r="D652" t="str">
            <v>South East Asia</v>
          </cell>
          <cell r="E652" t="str">
            <v>MNG</v>
          </cell>
          <cell r="F652" t="str">
            <v>Ministry of Health of Mongolia</v>
          </cell>
        </row>
        <row r="653">
          <cell r="B653" t="str">
            <v>MNT-506-G01-H</v>
          </cell>
          <cell r="C653" t="str">
            <v>Administratively Closed</v>
          </cell>
          <cell r="D653" t="str">
            <v>Eastern Europe and Central Asia</v>
          </cell>
          <cell r="E653" t="str">
            <v>MNE</v>
          </cell>
          <cell r="F653" t="str">
            <v>United Nations Development Programme, Montenegro</v>
          </cell>
        </row>
        <row r="654">
          <cell r="B654" t="str">
            <v>MNT-607-G02-T</v>
          </cell>
          <cell r="C654" t="str">
            <v>Administratively Closed</v>
          </cell>
          <cell r="D654" t="str">
            <v>Eastern Europe and Central Asia</v>
          </cell>
          <cell r="E654" t="str">
            <v>MNE</v>
          </cell>
          <cell r="F654" t="str">
            <v>United Nations Development Programme, Montenegro</v>
          </cell>
        </row>
        <row r="655">
          <cell r="B655" t="str">
            <v>MNT-910-G03-H</v>
          </cell>
          <cell r="C655" t="str">
            <v>Active</v>
          </cell>
          <cell r="D655" t="str">
            <v>Eastern Europe and Central Asia</v>
          </cell>
          <cell r="E655" t="str">
            <v>MNE</v>
          </cell>
          <cell r="F655" t="str">
            <v>United Nations Development Programme, Montenegro</v>
          </cell>
        </row>
        <row r="656">
          <cell r="B656" t="str">
            <v>MOR-011-G04-H</v>
          </cell>
          <cell r="C656" t="str">
            <v>Active</v>
          </cell>
          <cell r="D656" t="str">
            <v>Middle East and North Africa</v>
          </cell>
          <cell r="E656" t="str">
            <v>MAR</v>
          </cell>
          <cell r="F656" t="str">
            <v>Ministry of Health of the Kingdom of Morocco</v>
          </cell>
        </row>
        <row r="657">
          <cell r="B657" t="str">
            <v>MOR-011-G05-T</v>
          </cell>
          <cell r="C657" t="str">
            <v>Active</v>
          </cell>
          <cell r="D657" t="str">
            <v>Middle East and North Africa</v>
          </cell>
          <cell r="E657" t="str">
            <v>MAR</v>
          </cell>
          <cell r="F657" t="str">
            <v>Ministry of Health of the Kingdom of Morocco</v>
          </cell>
        </row>
        <row r="658">
          <cell r="B658" t="str">
            <v>MOR-102-G01-H-00</v>
          </cell>
          <cell r="C658" t="str">
            <v>Administratively Closed</v>
          </cell>
          <cell r="D658" t="str">
            <v>Middle East and North Africa</v>
          </cell>
          <cell r="E658" t="str">
            <v>MAR</v>
          </cell>
          <cell r="F658" t="str">
            <v>Ministry of Health of the Kingdom of Morocco</v>
          </cell>
        </row>
        <row r="659">
          <cell r="B659" t="str">
            <v>MOR-607-G02-H</v>
          </cell>
          <cell r="C659" t="str">
            <v>Financial Closure</v>
          </cell>
          <cell r="D659" t="str">
            <v>Middle East and North Africa</v>
          </cell>
          <cell r="E659" t="str">
            <v>MAR</v>
          </cell>
          <cell r="F659" t="str">
            <v>Ministry of Health of the Kingdom of Morocco</v>
          </cell>
        </row>
        <row r="660">
          <cell r="B660" t="str">
            <v>MOR-607-G03-T</v>
          </cell>
          <cell r="C660" t="str">
            <v>Administratively Closed</v>
          </cell>
          <cell r="D660" t="str">
            <v>Middle East and North Africa</v>
          </cell>
          <cell r="E660" t="str">
            <v>MAR</v>
          </cell>
          <cell r="F660" t="str">
            <v>Ministry of Health of the Kingdom of Morocco</v>
          </cell>
        </row>
        <row r="661">
          <cell r="B661" t="str">
            <v>MOZ-202-G01-H-00</v>
          </cell>
          <cell r="C661" t="str">
            <v>Administratively Closed</v>
          </cell>
          <cell r="D661" t="str">
            <v>High Impact Africa 2</v>
          </cell>
          <cell r="E661" t="str">
            <v>MOZ</v>
          </cell>
          <cell r="F661" t="str">
            <v>National AIDS Council of Mozambique</v>
          </cell>
        </row>
        <row r="662">
          <cell r="B662" t="str">
            <v>MOZ-202-G02-H-00</v>
          </cell>
          <cell r="C662" t="str">
            <v>Administratively Closed</v>
          </cell>
          <cell r="D662" t="str">
            <v>High Impact Africa 2</v>
          </cell>
          <cell r="E662" t="str">
            <v>MOZ</v>
          </cell>
          <cell r="F662" t="str">
            <v>Ministry of Health of Mozambique</v>
          </cell>
        </row>
        <row r="663">
          <cell r="B663" t="str">
            <v>MOZ-202-G03-M-00</v>
          </cell>
          <cell r="C663" t="str">
            <v>Administratively Closed</v>
          </cell>
          <cell r="D663" t="str">
            <v>High Impact Africa 2</v>
          </cell>
          <cell r="E663" t="str">
            <v>MOZ</v>
          </cell>
          <cell r="F663" t="str">
            <v>Ministry of Health of Mozambique</v>
          </cell>
        </row>
        <row r="664">
          <cell r="B664" t="str">
            <v>MOZ-202-G04-T-00</v>
          </cell>
          <cell r="C664" t="str">
            <v>Administratively Closed</v>
          </cell>
          <cell r="D664" t="str">
            <v>High Impact Africa 2</v>
          </cell>
          <cell r="E664" t="str">
            <v>MOZ</v>
          </cell>
          <cell r="F664" t="str">
            <v>Ministry of Health of Mozambique</v>
          </cell>
        </row>
        <row r="665">
          <cell r="B665" t="str">
            <v>MOZ-607-G05-H</v>
          </cell>
          <cell r="C665" t="str">
            <v>Administratively Closed</v>
          </cell>
          <cell r="D665" t="str">
            <v>High Impact Africa 2</v>
          </cell>
          <cell r="E665" t="str">
            <v>MOZ</v>
          </cell>
          <cell r="F665" t="str">
            <v>Ministry of Health of Mozambique</v>
          </cell>
        </row>
        <row r="666">
          <cell r="B666" t="str">
            <v>MOZ-607-G06-M</v>
          </cell>
          <cell r="C666" t="str">
            <v>Administratively Closed</v>
          </cell>
          <cell r="D666" t="str">
            <v>High Impact Africa 2</v>
          </cell>
          <cell r="E666" t="str">
            <v>MOZ</v>
          </cell>
          <cell r="F666" t="str">
            <v>Ministry of Health of Mozambique</v>
          </cell>
        </row>
        <row r="667">
          <cell r="B667" t="str">
            <v>MOZ-708-G07-T</v>
          </cell>
          <cell r="C667" t="str">
            <v>Active</v>
          </cell>
          <cell r="D667" t="str">
            <v>High Impact Africa 2</v>
          </cell>
          <cell r="E667" t="str">
            <v>MOZ</v>
          </cell>
          <cell r="F667" t="str">
            <v>Ministry of Health of Mozambique</v>
          </cell>
        </row>
        <row r="668">
          <cell r="B668" t="str">
            <v>MOZ-809-G08-S</v>
          </cell>
          <cell r="C668" t="str">
            <v>Active</v>
          </cell>
          <cell r="D668" t="str">
            <v>High Impact Africa 2</v>
          </cell>
          <cell r="E668" t="str">
            <v>MOZ</v>
          </cell>
          <cell r="F668" t="str">
            <v>Ministry of Health of Mozambique</v>
          </cell>
        </row>
        <row r="669">
          <cell r="B669" t="str">
            <v>MOZ-911-G09-H</v>
          </cell>
          <cell r="C669" t="str">
            <v>Active</v>
          </cell>
          <cell r="D669" t="str">
            <v>High Impact Africa 2</v>
          </cell>
          <cell r="E669" t="str">
            <v>MOZ</v>
          </cell>
          <cell r="F669" t="str">
            <v>Fundacao para o Desenvolvimento da Comunidade</v>
          </cell>
        </row>
        <row r="670">
          <cell r="B670" t="str">
            <v>MOZ-911-G10-H</v>
          </cell>
          <cell r="C670" t="str">
            <v>Active</v>
          </cell>
          <cell r="D670" t="str">
            <v>High Impact Africa 2</v>
          </cell>
          <cell r="E670" t="str">
            <v>MOZ</v>
          </cell>
          <cell r="F670" t="str">
            <v>Ministry of Health of Mozambique</v>
          </cell>
        </row>
        <row r="671">
          <cell r="B671" t="str">
            <v>MOZ-911-G11-M</v>
          </cell>
          <cell r="C671" t="str">
            <v>Active</v>
          </cell>
          <cell r="D671" t="str">
            <v>High Impact Africa 2</v>
          </cell>
          <cell r="E671" t="str">
            <v>MOZ</v>
          </cell>
          <cell r="F671" t="str">
            <v>Ministry of Health of Mozambique</v>
          </cell>
        </row>
        <row r="672">
          <cell r="B672" t="str">
            <v>MOZ-911-G12-M</v>
          </cell>
          <cell r="C672" t="str">
            <v>Active</v>
          </cell>
          <cell r="D672" t="str">
            <v>High Impact Africa 2</v>
          </cell>
          <cell r="E672" t="str">
            <v>MOZ</v>
          </cell>
          <cell r="F672" t="str">
            <v>World Vision Mozambique</v>
          </cell>
        </row>
        <row r="673">
          <cell r="B673" t="str">
            <v>MAF-202-G01-M-00</v>
          </cell>
          <cell r="C673" t="str">
            <v>Financial Closure</v>
          </cell>
          <cell r="D673" t="str">
            <v>Southern and Eastern Africa</v>
          </cell>
          <cell r="E673" t="str">
            <v>QMB</v>
          </cell>
          <cell r="F673" t="str">
            <v>Medical Research Council</v>
          </cell>
        </row>
        <row r="674">
          <cell r="B674" t="str">
            <v>MAF-506-G02-M</v>
          </cell>
          <cell r="C674" t="str">
            <v>Administratively Closed</v>
          </cell>
          <cell r="D674" t="str">
            <v>Southern and Eastern Africa</v>
          </cell>
          <cell r="E674" t="str">
            <v>QMB</v>
          </cell>
          <cell r="F674" t="str">
            <v>Medical Research Council</v>
          </cell>
        </row>
        <row r="675">
          <cell r="B675" t="str">
            <v>MAS-911-G01-H</v>
          </cell>
          <cell r="C675" t="str">
            <v>Active</v>
          </cell>
          <cell r="D675" t="str">
            <v>Southern and Eastern Africa</v>
          </cell>
          <cell r="E675" t="str">
            <v>QML</v>
          </cell>
          <cell r="F675" t="str">
            <v>Northstar Alliance</v>
          </cell>
        </row>
        <row r="676">
          <cell r="B676" t="str">
            <v>QML-H-SADC</v>
          </cell>
          <cell r="C676" t="str">
            <v>N.D.</v>
          </cell>
          <cell r="D676" t="str">
            <v>Southern and Eastern Africa</v>
          </cell>
          <cell r="E676" t="str">
            <v>QML</v>
          </cell>
          <cell r="F676" t="str">
            <v>Not Defined</v>
          </cell>
        </row>
        <row r="677">
          <cell r="B677" t="str">
            <v>MAW-607-G01-H</v>
          </cell>
          <cell r="C677" t="str">
            <v>Active</v>
          </cell>
          <cell r="D677" t="str">
            <v>Central Africa</v>
          </cell>
          <cell r="E677" t="str">
            <v>QMC</v>
          </cell>
          <cell r="F677" t="str">
            <v>Abidjan-Lagos Corridor Organization</v>
          </cell>
        </row>
        <row r="678">
          <cell r="B678" t="str">
            <v>MAA-305-G01-M</v>
          </cell>
          <cell r="C678" t="str">
            <v>Administratively Closed</v>
          </cell>
          <cell r="D678" t="str">
            <v>Latin America and Caribbean</v>
          </cell>
          <cell r="E678" t="str">
            <v>QMD</v>
          </cell>
          <cell r="F678" t="str">
            <v>Organismo Andino de Salud - Convenio Hipólito Unanue</v>
          </cell>
        </row>
        <row r="679">
          <cell r="B679" t="str">
            <v>MAC-304-G01-H</v>
          </cell>
          <cell r="C679" t="str">
            <v>Administratively Closed</v>
          </cell>
          <cell r="D679" t="str">
            <v>Latin America and Caribbean</v>
          </cell>
          <cell r="E679" t="str">
            <v>QME</v>
          </cell>
          <cell r="F679" t="str">
            <v>CARICOM Secretariat</v>
          </cell>
        </row>
        <row r="680">
          <cell r="B680" t="str">
            <v>MAC-910-G02-H</v>
          </cell>
          <cell r="C680" t="str">
            <v>Active</v>
          </cell>
          <cell r="D680" t="str">
            <v>Latin America and Caribbean</v>
          </cell>
          <cell r="E680" t="str">
            <v>QME</v>
          </cell>
          <cell r="F680" t="str">
            <v>CARICOM Secretariat</v>
          </cell>
        </row>
        <row r="681">
          <cell r="B681" t="str">
            <v>MCP-911-G01-H</v>
          </cell>
          <cell r="C681" t="str">
            <v>Financial Closure</v>
          </cell>
          <cell r="D681" t="str">
            <v>Latin America and Caribbean</v>
          </cell>
          <cell r="E681" t="str">
            <v>QMN</v>
          </cell>
          <cell r="F681" t="str">
            <v>Cicatelli Associates</v>
          </cell>
        </row>
        <row r="682">
          <cell r="B682" t="str">
            <v>MAN-405-G01-H</v>
          </cell>
          <cell r="C682" t="str">
            <v>Administratively Closed</v>
          </cell>
          <cell r="D682" t="str">
            <v>Latin America and Caribbean</v>
          </cell>
          <cell r="E682" t="str">
            <v>QMF</v>
          </cell>
          <cell r="F682" t="str">
            <v>Caribbean Regional Network of People Living with HIV/AIDS</v>
          </cell>
        </row>
        <row r="683">
          <cell r="B683" t="str">
            <v>MAM-405-G01-H</v>
          </cell>
          <cell r="C683" t="str">
            <v>Administratively Closed</v>
          </cell>
          <cell r="D683" t="str">
            <v>Latin America and Caribbean</v>
          </cell>
          <cell r="E683" t="str">
            <v>QMG</v>
          </cell>
          <cell r="F683" t="str">
            <v>Instituto Nacional de Salud Pública</v>
          </cell>
        </row>
        <row r="684">
          <cell r="B684" t="str">
            <v>QMG-M-PSI</v>
          </cell>
          <cell r="C684" t="str">
            <v>Active</v>
          </cell>
          <cell r="D684" t="str">
            <v>Latin America and Caribbean</v>
          </cell>
          <cell r="E684" t="str">
            <v>QMG</v>
          </cell>
          <cell r="F684" t="str">
            <v>Population Services International, USA</v>
          </cell>
        </row>
        <row r="685">
          <cell r="B685" t="str">
            <v>MAE-305-G01-H</v>
          </cell>
          <cell r="C685" t="str">
            <v>Administratively Closed</v>
          </cell>
          <cell r="D685" t="str">
            <v>Latin America and Caribbean</v>
          </cell>
          <cell r="E685" t="str">
            <v>QMH</v>
          </cell>
          <cell r="F685" t="str">
            <v>Organization Of Eastern Caribbean States</v>
          </cell>
        </row>
        <row r="686">
          <cell r="B686" t="str">
            <v>MAR-708-G01-H</v>
          </cell>
          <cell r="C686" t="str">
            <v>Administratively Closed</v>
          </cell>
          <cell r="D686" t="str">
            <v>Latin America and Caribbean</v>
          </cell>
          <cell r="E686" t="str">
            <v>QMI</v>
          </cell>
          <cell r="F686" t="str">
            <v>Secretaría de la Integración Social Centroamericana</v>
          </cell>
        </row>
        <row r="687">
          <cell r="B687" t="str">
            <v>MAR-H-SISCA</v>
          </cell>
          <cell r="C687" t="str">
            <v>Active</v>
          </cell>
          <cell r="D687" t="str">
            <v>Latin America and Caribbean</v>
          </cell>
          <cell r="E687" t="str">
            <v>QMI</v>
          </cell>
          <cell r="F687" t="str">
            <v>Secretaría de la Integración Social Centroamericana</v>
          </cell>
        </row>
        <row r="688">
          <cell r="B688" t="str">
            <v>MAT-011-G01-H</v>
          </cell>
          <cell r="C688" t="str">
            <v>Active</v>
          </cell>
          <cell r="D688" t="str">
            <v>Latin America and Caribbean</v>
          </cell>
          <cell r="E688" t="str">
            <v>QMO</v>
          </cell>
          <cell r="F688" t="str">
            <v>International Organization for Migration, Argentina</v>
          </cell>
        </row>
        <row r="689">
          <cell r="B689" t="str">
            <v>MEA-011-G01-H</v>
          </cell>
          <cell r="C689" t="str">
            <v>Active</v>
          </cell>
          <cell r="D689" t="str">
            <v>South East Asia</v>
          </cell>
          <cell r="E689" t="str">
            <v>QMP</v>
          </cell>
          <cell r="F689" t="str">
            <v>Asia Pacific Network of People Living with HIV/AIDS</v>
          </cell>
        </row>
        <row r="690">
          <cell r="B690" t="str">
            <v>MEI-011-G01-H</v>
          </cell>
          <cell r="C690" t="str">
            <v>Active</v>
          </cell>
          <cell r="D690" t="str">
            <v>High Impact Asia</v>
          </cell>
          <cell r="E690" t="str">
            <v>QMQ</v>
          </cell>
          <cell r="F690" t="str">
            <v>Humanist Institute for Development Cooperation, HQ</v>
          </cell>
        </row>
        <row r="691">
          <cell r="B691" t="str">
            <v>QMU-M-UNOPS</v>
          </cell>
          <cell r="C691" t="str">
            <v>Active</v>
          </cell>
          <cell r="D691" t="str">
            <v>High Impact Asia</v>
          </cell>
          <cell r="E691" t="str">
            <v>QMU</v>
          </cell>
          <cell r="F691" t="str">
            <v>United Nations Office for Project Services, Denmark</v>
          </cell>
        </row>
        <row r="692">
          <cell r="B692" t="str">
            <v>QMT-H-EHRN</v>
          </cell>
          <cell r="C692" t="str">
            <v>Active</v>
          </cell>
          <cell r="D692" t="str">
            <v>Eastern Europe and Central Asia</v>
          </cell>
          <cell r="E692" t="str">
            <v>QMT</v>
          </cell>
          <cell r="F692" t="str">
            <v>Eurasian Harm Reduction Network</v>
          </cell>
        </row>
        <row r="693">
          <cell r="B693" t="str">
            <v>QSF-T-IOM</v>
          </cell>
          <cell r="C693" t="str">
            <v>Active</v>
          </cell>
          <cell r="D693" t="str">
            <v>Middle East and North Africa</v>
          </cell>
          <cell r="E693" t="str">
            <v>QMW</v>
          </cell>
          <cell r="F693" t="str">
            <v>International Organization for Migration, Switzerland</v>
          </cell>
        </row>
        <row r="694">
          <cell r="B694" t="str">
            <v>MMM-011-G01-H</v>
          </cell>
          <cell r="C694" t="str">
            <v>Active</v>
          </cell>
          <cell r="D694" t="str">
            <v>Middle East and North Africa</v>
          </cell>
          <cell r="E694" t="str">
            <v>QMR</v>
          </cell>
          <cell r="F694" t="str">
            <v>Middle East and North Africa Harm Reduction Association</v>
          </cell>
        </row>
        <row r="695">
          <cell r="B695" t="str">
            <v>MSA-910-G01-H</v>
          </cell>
          <cell r="C695" t="str">
            <v>Administratively Closed</v>
          </cell>
          <cell r="D695" t="str">
            <v>South East Asia</v>
          </cell>
          <cell r="E695" t="str">
            <v>QMS</v>
          </cell>
          <cell r="F695" t="str">
            <v>Population Services International, Nepal</v>
          </cell>
        </row>
        <row r="696">
          <cell r="B696" t="str">
            <v>MSA-910-G02-H</v>
          </cell>
          <cell r="C696" t="str">
            <v>Active</v>
          </cell>
          <cell r="D696" t="str">
            <v>South East Asia</v>
          </cell>
          <cell r="E696" t="str">
            <v>QMS</v>
          </cell>
          <cell r="F696" t="str">
            <v>United Nations Development Programme, Asia Pacific</v>
          </cell>
        </row>
        <row r="697">
          <cell r="B697" t="str">
            <v>MWP-202-G01-H-00</v>
          </cell>
          <cell r="C697" t="str">
            <v>Administratively Closed</v>
          </cell>
          <cell r="D697" t="str">
            <v>South East Asia</v>
          </cell>
          <cell r="E697" t="str">
            <v>QMJ</v>
          </cell>
          <cell r="F697" t="str">
            <v>Secretariat of the Pacific Community</v>
          </cell>
        </row>
        <row r="698">
          <cell r="B698" t="str">
            <v>MWP-202-G02-M-00</v>
          </cell>
          <cell r="C698" t="str">
            <v>Administratively Closed</v>
          </cell>
          <cell r="D698" t="str">
            <v>South East Asia</v>
          </cell>
          <cell r="E698" t="str">
            <v>QMJ</v>
          </cell>
          <cell r="F698" t="str">
            <v>Secretariat of the Pacific Community</v>
          </cell>
        </row>
        <row r="699">
          <cell r="B699" t="str">
            <v>MWP-202-G03-T-00</v>
          </cell>
          <cell r="C699" t="str">
            <v>Administratively Closed</v>
          </cell>
          <cell r="D699" t="str">
            <v>South East Asia</v>
          </cell>
          <cell r="E699" t="str">
            <v>QMJ</v>
          </cell>
          <cell r="F699" t="str">
            <v>Secretariat of the Pacific Community</v>
          </cell>
        </row>
        <row r="700">
          <cell r="B700" t="str">
            <v>MWP-506-G04-M</v>
          </cell>
          <cell r="C700" t="str">
            <v>Administratively Closed</v>
          </cell>
          <cell r="D700" t="str">
            <v>South East Asia</v>
          </cell>
          <cell r="E700" t="str">
            <v>QMJ</v>
          </cell>
          <cell r="F700" t="str">
            <v>Secretariat of the Pacific Community</v>
          </cell>
        </row>
        <row r="701">
          <cell r="B701" t="str">
            <v>MWP-708-G06-H</v>
          </cell>
          <cell r="C701" t="str">
            <v>Active</v>
          </cell>
          <cell r="D701" t="str">
            <v>South East Asia</v>
          </cell>
          <cell r="E701" t="str">
            <v>QMJ</v>
          </cell>
          <cell r="F701" t="str">
            <v>Secretariat of the Pacific Community</v>
          </cell>
        </row>
        <row r="702">
          <cell r="B702" t="str">
            <v>MWP-708-G07-T</v>
          </cell>
          <cell r="C702" t="str">
            <v>Active</v>
          </cell>
          <cell r="D702" t="str">
            <v>South East Asia</v>
          </cell>
          <cell r="E702" t="str">
            <v>QMJ</v>
          </cell>
          <cell r="F702" t="str">
            <v>Secretariat of the Pacific Community</v>
          </cell>
        </row>
        <row r="703">
          <cell r="B703" t="str">
            <v>QMJ-507-G05-M</v>
          </cell>
          <cell r="C703" t="str">
            <v>Active</v>
          </cell>
          <cell r="D703" t="str">
            <v>South East Asia</v>
          </cell>
          <cell r="E703" t="str">
            <v>QMJ</v>
          </cell>
          <cell r="F703" t="str">
            <v>Secretariat of the Pacific Community</v>
          </cell>
        </row>
        <row r="704">
          <cell r="B704" t="str">
            <v>QMJ-M-SPC</v>
          </cell>
          <cell r="C704" t="str">
            <v>N.D.</v>
          </cell>
          <cell r="D704" t="str">
            <v>South East Asia</v>
          </cell>
          <cell r="E704" t="str">
            <v>QMJ</v>
          </cell>
          <cell r="F704" t="str">
            <v>Not Defined</v>
          </cell>
        </row>
        <row r="705">
          <cell r="B705" t="str">
            <v>QMJ-T-SPC</v>
          </cell>
          <cell r="C705" t="str">
            <v>N.D.</v>
          </cell>
          <cell r="D705" t="str">
            <v>South East Asia</v>
          </cell>
          <cell r="E705" t="str">
            <v>QMJ</v>
          </cell>
          <cell r="F705" t="str">
            <v>Not Defined</v>
          </cell>
        </row>
        <row r="706">
          <cell r="B706" t="str">
            <v>MYN-202-G01-T-00</v>
          </cell>
          <cell r="C706" t="str">
            <v>Administratively Closed</v>
          </cell>
          <cell r="D706" t="str">
            <v>High Impact Asia</v>
          </cell>
          <cell r="E706" t="str">
            <v>MMR</v>
          </cell>
          <cell r="F706" t="str">
            <v>United Nations Development Programme, Myanmar</v>
          </cell>
        </row>
        <row r="707">
          <cell r="B707" t="str">
            <v>MYN-305-G02-H</v>
          </cell>
          <cell r="C707" t="str">
            <v>Administratively Closed</v>
          </cell>
          <cell r="D707" t="str">
            <v>High Impact Asia</v>
          </cell>
          <cell r="E707" t="str">
            <v>MMR</v>
          </cell>
          <cell r="F707" t="str">
            <v>United Nations Development Programme, Myanmar</v>
          </cell>
        </row>
        <row r="708">
          <cell r="B708" t="str">
            <v>MYN-305-G03-M</v>
          </cell>
          <cell r="C708" t="str">
            <v>Administratively Closed</v>
          </cell>
          <cell r="D708" t="str">
            <v>High Impact Asia</v>
          </cell>
          <cell r="E708" t="str">
            <v>MMR</v>
          </cell>
          <cell r="F708" t="str">
            <v>United Nations Development Programme, Myanmar</v>
          </cell>
        </row>
        <row r="709">
          <cell r="B709" t="str">
            <v>MYN-H-SCF</v>
          </cell>
          <cell r="C709" t="str">
            <v>Active</v>
          </cell>
          <cell r="D709" t="str">
            <v>High Impact Asia</v>
          </cell>
          <cell r="E709" t="str">
            <v>MMR</v>
          </cell>
          <cell r="F709" t="str">
            <v>Save the Children, Myanmar Office</v>
          </cell>
        </row>
        <row r="710">
          <cell r="B710" t="str">
            <v>MYN-H-UNOPS</v>
          </cell>
          <cell r="C710" t="str">
            <v>Active</v>
          </cell>
          <cell r="D710" t="str">
            <v>High Impact Asia</v>
          </cell>
          <cell r="E710" t="str">
            <v>MMR</v>
          </cell>
          <cell r="F710" t="str">
            <v>United Nations Office for Project Services, Denmark</v>
          </cell>
        </row>
        <row r="711">
          <cell r="B711" t="str">
            <v>MYN-M-SCF</v>
          </cell>
          <cell r="C711" t="str">
            <v>Active</v>
          </cell>
          <cell r="D711" t="str">
            <v>High Impact Asia</v>
          </cell>
          <cell r="E711" t="str">
            <v>MMR</v>
          </cell>
          <cell r="F711" t="str">
            <v>Save the Children, Myanmar Office</v>
          </cell>
        </row>
        <row r="712">
          <cell r="B712" t="str">
            <v>MYN-M-UNOPS</v>
          </cell>
          <cell r="C712" t="str">
            <v>Active</v>
          </cell>
          <cell r="D712" t="str">
            <v>High Impact Asia</v>
          </cell>
          <cell r="E712" t="str">
            <v>MMR</v>
          </cell>
          <cell r="F712" t="str">
            <v>United Nations Office for Project Services, Denmark</v>
          </cell>
        </row>
        <row r="713">
          <cell r="B713" t="str">
            <v>MYN-T-SCF</v>
          </cell>
          <cell r="C713" t="str">
            <v>Active</v>
          </cell>
          <cell r="D713" t="str">
            <v>High Impact Asia</v>
          </cell>
          <cell r="E713" t="str">
            <v>MMR</v>
          </cell>
          <cell r="F713" t="str">
            <v>Save the Children, Myanmar Office</v>
          </cell>
        </row>
        <row r="714">
          <cell r="B714" t="str">
            <v>MYN-T-UNOPS</v>
          </cell>
          <cell r="C714" t="str">
            <v>Active</v>
          </cell>
          <cell r="D714" t="str">
            <v>High Impact Asia</v>
          </cell>
          <cell r="E714" t="str">
            <v>MMR</v>
          </cell>
          <cell r="F714" t="str">
            <v>United Nations Office for Project Services, Denmark</v>
          </cell>
        </row>
        <row r="715">
          <cell r="B715" t="str">
            <v>NMB-202-G01-H-00</v>
          </cell>
          <cell r="C715" t="str">
            <v>Active</v>
          </cell>
          <cell r="D715" t="str">
            <v>Southern and Eastern Africa</v>
          </cell>
          <cell r="E715" t="str">
            <v>NAM</v>
          </cell>
          <cell r="F715" t="str">
            <v>Ministry of Health and Social Services of Namibia</v>
          </cell>
        </row>
        <row r="716">
          <cell r="B716" t="str">
            <v>NMB-202-G02-T-00</v>
          </cell>
          <cell r="C716" t="str">
            <v>Administratively Closed</v>
          </cell>
          <cell r="D716" t="str">
            <v>Southern and Eastern Africa</v>
          </cell>
          <cell r="E716" t="str">
            <v>NAM</v>
          </cell>
          <cell r="F716" t="str">
            <v>Ministry of Health and Social Services of Namibia</v>
          </cell>
        </row>
        <row r="717">
          <cell r="B717" t="str">
            <v>NMB-202-G03-M-00</v>
          </cell>
          <cell r="C717" t="str">
            <v>Active</v>
          </cell>
          <cell r="D717" t="str">
            <v>Southern and Eastern Africa</v>
          </cell>
          <cell r="E717" t="str">
            <v>NAM</v>
          </cell>
          <cell r="F717" t="str">
            <v>Ministry of Health and Social Services of Namibia</v>
          </cell>
        </row>
        <row r="718">
          <cell r="B718" t="str">
            <v>NMB-202-G07-H</v>
          </cell>
          <cell r="C718" t="str">
            <v>Active</v>
          </cell>
          <cell r="D718" t="str">
            <v>Southern and Eastern Africa</v>
          </cell>
          <cell r="E718" t="str">
            <v>NAM</v>
          </cell>
          <cell r="F718" t="str">
            <v>Namibia Network of AIDS Service Organisations</v>
          </cell>
        </row>
        <row r="719">
          <cell r="B719" t="str">
            <v>NMB-506-G04-T</v>
          </cell>
          <cell r="C719" t="str">
            <v>Financial Closure</v>
          </cell>
          <cell r="D719" t="str">
            <v>Southern and Eastern Africa</v>
          </cell>
          <cell r="E719" t="str">
            <v>NAM</v>
          </cell>
          <cell r="F719" t="str">
            <v>Ministry of Health and Social Services of Namibia</v>
          </cell>
        </row>
        <row r="720">
          <cell r="B720" t="str">
            <v>NMB-607-G06-M</v>
          </cell>
          <cell r="C720" t="str">
            <v>Financial Closure</v>
          </cell>
          <cell r="D720" t="str">
            <v>Southern and Eastern Africa</v>
          </cell>
          <cell r="E720" t="str">
            <v>NAM</v>
          </cell>
          <cell r="F720" t="str">
            <v>Ministry of Health and Social Services of Namibia</v>
          </cell>
        </row>
        <row r="721">
          <cell r="B721" t="str">
            <v>NMB-T-MoHSS</v>
          </cell>
          <cell r="C721" t="str">
            <v>Active</v>
          </cell>
          <cell r="D721" t="str">
            <v>Southern and Eastern Africa</v>
          </cell>
          <cell r="E721" t="str">
            <v>NAM</v>
          </cell>
          <cell r="F721" t="str">
            <v>Ministry of Health and Social Services of Namibia</v>
          </cell>
        </row>
        <row r="722">
          <cell r="B722" t="str">
            <v>NEP-202-G01-H-00</v>
          </cell>
          <cell r="C722" t="str">
            <v>Administratively Closed</v>
          </cell>
          <cell r="D722" t="str">
            <v>South East Asia</v>
          </cell>
          <cell r="E722" t="str">
            <v>NPL</v>
          </cell>
          <cell r="F722" t="str">
            <v>Ministry of Health of Nepal</v>
          </cell>
        </row>
        <row r="723">
          <cell r="B723" t="str">
            <v>NEP-202-G02-M-00</v>
          </cell>
          <cell r="C723" t="str">
            <v>Administratively Closed</v>
          </cell>
          <cell r="D723" t="str">
            <v>South East Asia</v>
          </cell>
          <cell r="E723" t="str">
            <v>NPL</v>
          </cell>
          <cell r="F723" t="str">
            <v>Ministry of Health of Nepal</v>
          </cell>
        </row>
        <row r="724">
          <cell r="B724" t="str">
            <v>NEP-202-G04-M-00</v>
          </cell>
          <cell r="C724" t="str">
            <v>Administratively Closed</v>
          </cell>
          <cell r="D724" t="str">
            <v>South East Asia</v>
          </cell>
          <cell r="E724" t="str">
            <v>NPL</v>
          </cell>
          <cell r="F724" t="str">
            <v>Population Services International, Nepal</v>
          </cell>
        </row>
        <row r="725">
          <cell r="B725" t="str">
            <v>NEP-202-G05-H-00</v>
          </cell>
          <cell r="C725" t="str">
            <v>Administratively Closed</v>
          </cell>
          <cell r="D725" t="str">
            <v>South East Asia</v>
          </cell>
          <cell r="E725" t="str">
            <v>NPL</v>
          </cell>
          <cell r="F725" t="str">
            <v>United Nations Development Programme, Nepal</v>
          </cell>
        </row>
        <row r="726">
          <cell r="B726" t="str">
            <v>NEP-405-G03-T</v>
          </cell>
          <cell r="C726" t="str">
            <v>Administratively Closed</v>
          </cell>
          <cell r="D726" t="str">
            <v>South East Asia</v>
          </cell>
          <cell r="E726" t="str">
            <v>NPL</v>
          </cell>
          <cell r="F726" t="str">
            <v>Ministry of Health of Nepal</v>
          </cell>
        </row>
        <row r="727">
          <cell r="B727" t="str">
            <v>NEP-708-G06-M</v>
          </cell>
          <cell r="C727" t="str">
            <v>Administratively Closed</v>
          </cell>
          <cell r="D727" t="str">
            <v>South East Asia</v>
          </cell>
          <cell r="E727" t="str">
            <v>NPL</v>
          </cell>
          <cell r="F727" t="str">
            <v>Population Services International, Nepal</v>
          </cell>
        </row>
        <row r="728">
          <cell r="B728" t="str">
            <v>NEP-708-G07-M</v>
          </cell>
          <cell r="C728" t="str">
            <v>Administratively Closed</v>
          </cell>
          <cell r="D728" t="str">
            <v>South East Asia</v>
          </cell>
          <cell r="E728" t="str">
            <v>NPL</v>
          </cell>
          <cell r="F728" t="str">
            <v>Ministry of Health of Nepal</v>
          </cell>
        </row>
        <row r="729">
          <cell r="B729" t="str">
            <v>NEP-708-G08-T</v>
          </cell>
          <cell r="C729" t="str">
            <v>Administratively Closed</v>
          </cell>
          <cell r="D729" t="str">
            <v>South East Asia</v>
          </cell>
          <cell r="E729" t="str">
            <v>NPL</v>
          </cell>
          <cell r="F729" t="str">
            <v>Ministry of Health of Nepal</v>
          </cell>
        </row>
        <row r="730">
          <cell r="B730" t="str">
            <v>NEP-708-G09-H</v>
          </cell>
          <cell r="C730" t="str">
            <v>Administratively Closed</v>
          </cell>
          <cell r="D730" t="str">
            <v>South East Asia</v>
          </cell>
          <cell r="E730" t="str">
            <v>NPL</v>
          </cell>
          <cell r="F730" t="str">
            <v>United Nations Development Programme, Nepal</v>
          </cell>
        </row>
        <row r="731">
          <cell r="B731" t="str">
            <v>NEP-708-G10-H</v>
          </cell>
          <cell r="C731" t="str">
            <v>Administratively Closed</v>
          </cell>
          <cell r="D731" t="str">
            <v>South East Asia</v>
          </cell>
          <cell r="E731" t="str">
            <v>NPL</v>
          </cell>
          <cell r="F731" t="str">
            <v>Save the Children, Nepal Office</v>
          </cell>
        </row>
        <row r="732">
          <cell r="B732" t="str">
            <v>NEP-708-G11-H</v>
          </cell>
          <cell r="C732" t="str">
            <v>Financial Closure</v>
          </cell>
          <cell r="D732" t="str">
            <v>South East Asia</v>
          </cell>
          <cell r="E732" t="str">
            <v>NPL</v>
          </cell>
          <cell r="F732" t="str">
            <v>Family Planning Association of Nepal</v>
          </cell>
        </row>
        <row r="733">
          <cell r="B733" t="str">
            <v>NEP-711-G13-H</v>
          </cell>
          <cell r="C733" t="str">
            <v>Administratively Closed</v>
          </cell>
          <cell r="D733" t="str">
            <v>South East Asia</v>
          </cell>
          <cell r="E733" t="str">
            <v>NPL</v>
          </cell>
          <cell r="F733" t="str">
            <v>Ministry of Health of Nepal</v>
          </cell>
        </row>
        <row r="734">
          <cell r="B734" t="str">
            <v>NEP-H-NCASC</v>
          </cell>
          <cell r="C734" t="str">
            <v>Active</v>
          </cell>
          <cell r="D734" t="str">
            <v>South East Asia</v>
          </cell>
          <cell r="E734" t="str">
            <v>NPL</v>
          </cell>
          <cell r="F734" t="str">
            <v>Ministry of Health of Nepal</v>
          </cell>
        </row>
        <row r="735">
          <cell r="B735" t="str">
            <v>NEP-H-SCF</v>
          </cell>
          <cell r="C735" t="str">
            <v>Active</v>
          </cell>
          <cell r="D735" t="str">
            <v>South East Asia</v>
          </cell>
          <cell r="E735" t="str">
            <v>NPL</v>
          </cell>
          <cell r="F735" t="str">
            <v>Save the Children, Nepal Office</v>
          </cell>
        </row>
        <row r="736">
          <cell r="B736" t="str">
            <v>NEP-M-EDCD</v>
          </cell>
          <cell r="C736" t="str">
            <v>Active</v>
          </cell>
          <cell r="D736" t="str">
            <v>South East Asia</v>
          </cell>
          <cell r="E736" t="str">
            <v>NPL</v>
          </cell>
          <cell r="F736" t="str">
            <v>Ministry of Health of Nepal</v>
          </cell>
        </row>
        <row r="737">
          <cell r="B737" t="str">
            <v>NEP-M-PSI</v>
          </cell>
          <cell r="C737" t="str">
            <v>Financial Closure</v>
          </cell>
          <cell r="D737" t="str">
            <v>South East Asia</v>
          </cell>
          <cell r="E737" t="str">
            <v>NPL</v>
          </cell>
          <cell r="F737" t="str">
            <v>Population Services International, Nepal</v>
          </cell>
        </row>
        <row r="738">
          <cell r="B738" t="str">
            <v>NEP-T-NTC</v>
          </cell>
          <cell r="C738" t="str">
            <v>Active</v>
          </cell>
          <cell r="D738" t="str">
            <v>South East Asia</v>
          </cell>
          <cell r="E738" t="str">
            <v>NPL</v>
          </cell>
          <cell r="F738" t="str">
            <v>Ministry of Health of Nepal</v>
          </cell>
        </row>
        <row r="739">
          <cell r="B739" t="str">
            <v>NIC-202-G01-M-00</v>
          </cell>
          <cell r="C739" t="str">
            <v>Administratively Closed</v>
          </cell>
          <cell r="D739" t="str">
            <v>Latin America and Caribbean</v>
          </cell>
          <cell r="E739" t="str">
            <v>NIC</v>
          </cell>
          <cell r="F739" t="str">
            <v>Federación Red NicaSalud</v>
          </cell>
        </row>
        <row r="740">
          <cell r="B740" t="str">
            <v>NIC-202-G02-T-00</v>
          </cell>
          <cell r="C740" t="str">
            <v>Administratively Closed</v>
          </cell>
          <cell r="D740" t="str">
            <v>Latin America and Caribbean</v>
          </cell>
          <cell r="E740" t="str">
            <v>NIC</v>
          </cell>
          <cell r="F740" t="str">
            <v>Federación Red NicaSalud</v>
          </cell>
        </row>
        <row r="741">
          <cell r="B741" t="str">
            <v>NIC-202-G03-H-00</v>
          </cell>
          <cell r="C741" t="str">
            <v>Administratively Closed</v>
          </cell>
          <cell r="D741" t="str">
            <v>Latin America and Caribbean</v>
          </cell>
          <cell r="E741" t="str">
            <v>NIC</v>
          </cell>
          <cell r="F741" t="str">
            <v>Federación Red NicaSalud</v>
          </cell>
        </row>
        <row r="742">
          <cell r="B742" t="str">
            <v>NIC-202-G05-T-00</v>
          </cell>
          <cell r="C742" t="str">
            <v>Active</v>
          </cell>
          <cell r="D742" t="str">
            <v>Latin America and Caribbean</v>
          </cell>
          <cell r="E742" t="str">
            <v>NIC</v>
          </cell>
          <cell r="F742" t="str">
            <v>Instituto Nicaraguense de Seguridad Social</v>
          </cell>
        </row>
        <row r="743">
          <cell r="B743" t="str">
            <v>NIC-708-G04-M</v>
          </cell>
          <cell r="C743" t="str">
            <v>Administratively Closed</v>
          </cell>
          <cell r="D743" t="str">
            <v>Latin America and Caribbean</v>
          </cell>
          <cell r="E743" t="str">
            <v>NIC</v>
          </cell>
          <cell r="F743" t="str">
            <v>Federación Red NicaSalud</v>
          </cell>
        </row>
        <row r="744">
          <cell r="B744" t="str">
            <v>NIC-809-G06-H</v>
          </cell>
          <cell r="C744" t="str">
            <v>Active</v>
          </cell>
          <cell r="D744" t="str">
            <v>Latin America and Caribbean</v>
          </cell>
          <cell r="E744" t="str">
            <v>NIC</v>
          </cell>
          <cell r="F744" t="str">
            <v>Instituto Nicaraguense de Seguridad Social</v>
          </cell>
        </row>
        <row r="745">
          <cell r="B745" t="str">
            <v>NIC-910-G07-M</v>
          </cell>
          <cell r="C745" t="str">
            <v>Administratively Closed</v>
          </cell>
          <cell r="D745" t="str">
            <v>Latin America and Caribbean</v>
          </cell>
          <cell r="E745" t="str">
            <v>NIC</v>
          </cell>
          <cell r="F745" t="str">
            <v>Federación Red NicaSalud</v>
          </cell>
        </row>
        <row r="746">
          <cell r="B746" t="str">
            <v>NIC-H-INSS</v>
          </cell>
          <cell r="C746" t="str">
            <v>N.D.</v>
          </cell>
          <cell r="D746" t="str">
            <v>Latin America and Caribbean</v>
          </cell>
          <cell r="E746" t="str">
            <v>NIC</v>
          </cell>
          <cell r="F746" t="str">
            <v>Not Defined</v>
          </cell>
        </row>
        <row r="747">
          <cell r="B747" t="str">
            <v>NIC-M-REDNICA</v>
          </cell>
          <cell r="C747" t="str">
            <v>Active</v>
          </cell>
          <cell r="D747" t="str">
            <v>Latin America and Caribbean</v>
          </cell>
          <cell r="E747" t="str">
            <v>NIC</v>
          </cell>
          <cell r="F747" t="str">
            <v>Federación Red NicaSalud</v>
          </cell>
        </row>
        <row r="748">
          <cell r="B748" t="str">
            <v>NER-S-SCF</v>
          </cell>
          <cell r="C748" t="str">
            <v>Active</v>
          </cell>
          <cell r="D748" t="str">
            <v>Western Africa</v>
          </cell>
          <cell r="E748" t="str">
            <v>NER</v>
          </cell>
          <cell r="F748" t="str">
            <v>Save the Children Federation, Inc.</v>
          </cell>
        </row>
        <row r="749">
          <cell r="B749" t="str">
            <v>NGR-013-G09-T</v>
          </cell>
          <cell r="C749" t="str">
            <v>Active</v>
          </cell>
          <cell r="D749" t="str">
            <v>Western Africa</v>
          </cell>
          <cell r="E749" t="str">
            <v>NER</v>
          </cell>
          <cell r="F749" t="str">
            <v>International Federation of Red Cross and Red Crescent Societies</v>
          </cell>
        </row>
        <row r="750">
          <cell r="B750" t="str">
            <v>NGR-304-G01-H</v>
          </cell>
          <cell r="C750" t="str">
            <v>Administratively Closed</v>
          </cell>
          <cell r="D750" t="str">
            <v>Western Africa</v>
          </cell>
          <cell r="E750" t="str">
            <v>NER</v>
          </cell>
          <cell r="F750" t="str">
            <v>Multi-sectorial Coordination Unit to Fight HIV/AIDS/STI</v>
          </cell>
        </row>
        <row r="751">
          <cell r="B751" t="str">
            <v>NGR-304-G02-M</v>
          </cell>
          <cell r="C751" t="str">
            <v>Administratively Closed</v>
          </cell>
          <cell r="D751" t="str">
            <v>Western Africa</v>
          </cell>
          <cell r="E751" t="str">
            <v>NER</v>
          </cell>
          <cell r="F751" t="str">
            <v>Centre of International Cooperation in Health and Development, Niger</v>
          </cell>
        </row>
        <row r="752">
          <cell r="B752" t="str">
            <v>NGR-306-G06-M</v>
          </cell>
          <cell r="C752" t="str">
            <v>Administratively Closed</v>
          </cell>
          <cell r="D752" t="str">
            <v>Western Africa</v>
          </cell>
          <cell r="E752" t="str">
            <v>NER</v>
          </cell>
          <cell r="F752" t="str">
            <v>United Nations Development Programme, Niger</v>
          </cell>
        </row>
        <row r="753">
          <cell r="B753" t="str">
            <v>NGR-405-G03-M</v>
          </cell>
          <cell r="C753" t="str">
            <v>Administratively Closed</v>
          </cell>
          <cell r="D753" t="str">
            <v>Western Africa</v>
          </cell>
          <cell r="E753" t="str">
            <v>NER</v>
          </cell>
          <cell r="F753" t="str">
            <v>Int'l Federation of Red Cross and Red Crescent</v>
          </cell>
        </row>
        <row r="754">
          <cell r="B754" t="str">
            <v>NGR-506-G04-M</v>
          </cell>
          <cell r="C754" t="str">
            <v>Financial Closure</v>
          </cell>
          <cell r="D754" t="str">
            <v>Western Africa</v>
          </cell>
          <cell r="E754" t="str">
            <v>NER</v>
          </cell>
          <cell r="F754" t="str">
            <v>United Nations Development Programme, Niger</v>
          </cell>
        </row>
        <row r="755">
          <cell r="B755" t="str">
            <v>NGR-506-G05-T</v>
          </cell>
          <cell r="C755" t="str">
            <v>Financial Closure</v>
          </cell>
          <cell r="D755" t="str">
            <v>Western Africa</v>
          </cell>
          <cell r="E755" t="str">
            <v>NER</v>
          </cell>
          <cell r="F755" t="str">
            <v>United Nations Development Programme, Niger</v>
          </cell>
        </row>
        <row r="756">
          <cell r="B756" t="str">
            <v>NGR-708-G07-M</v>
          </cell>
          <cell r="C756" t="str">
            <v>Active</v>
          </cell>
          <cell r="D756" t="str">
            <v>Western Africa</v>
          </cell>
          <cell r="E756" t="str">
            <v>NER</v>
          </cell>
          <cell r="F756" t="str">
            <v>Catholic Relief Services - Niger</v>
          </cell>
        </row>
        <row r="757">
          <cell r="B757" t="str">
            <v>NGR-708-G08-H</v>
          </cell>
          <cell r="C757" t="str">
            <v>Active</v>
          </cell>
          <cell r="D757" t="str">
            <v>Western Africa</v>
          </cell>
          <cell r="E757" t="str">
            <v>NER</v>
          </cell>
          <cell r="F757" t="str">
            <v>Multi-sectorial Coordination Unit to Fight HIV/AIDS/STI</v>
          </cell>
        </row>
        <row r="758">
          <cell r="B758" t="str">
            <v>NGA-102-G01-H-00</v>
          </cell>
          <cell r="C758" t="str">
            <v>Financial Closure</v>
          </cell>
          <cell r="D758" t="str">
            <v>High Impact Africa 1</v>
          </cell>
          <cell r="E758" t="str">
            <v>NGA</v>
          </cell>
          <cell r="F758" t="str">
            <v>National Agency for Control of AIDS</v>
          </cell>
        </row>
        <row r="759">
          <cell r="B759" t="str">
            <v>NGA-102-G02-H-00</v>
          </cell>
          <cell r="C759" t="str">
            <v>Financial Closure</v>
          </cell>
          <cell r="D759" t="str">
            <v>High Impact Africa 1</v>
          </cell>
          <cell r="E759" t="str">
            <v>NGA</v>
          </cell>
          <cell r="F759" t="str">
            <v>Yakubu Gowon Center for National Unity and International Cooperation</v>
          </cell>
        </row>
        <row r="760">
          <cell r="B760" t="str">
            <v>NGA-102-G03-H-00</v>
          </cell>
          <cell r="C760" t="str">
            <v>Financial Closure</v>
          </cell>
          <cell r="D760" t="str">
            <v>High Impact Africa 1</v>
          </cell>
          <cell r="E760" t="str">
            <v>NGA</v>
          </cell>
          <cell r="F760" t="str">
            <v>National Agency for Control of AIDS</v>
          </cell>
        </row>
        <row r="761">
          <cell r="B761" t="str">
            <v>NGA-202-G04-M-00</v>
          </cell>
          <cell r="C761" t="str">
            <v>Financial Closure</v>
          </cell>
          <cell r="D761" t="str">
            <v>High Impact Africa 1</v>
          </cell>
          <cell r="E761" t="str">
            <v>NGA</v>
          </cell>
          <cell r="F761" t="str">
            <v>Yakubu Gowon Center for National Unity and International Cooperation</v>
          </cell>
        </row>
        <row r="762">
          <cell r="B762" t="str">
            <v>NGA-404-G05-M</v>
          </cell>
          <cell r="C762" t="str">
            <v>Financial Closure</v>
          </cell>
          <cell r="D762" t="str">
            <v>High Impact Africa 1</v>
          </cell>
          <cell r="E762" t="str">
            <v>NGA</v>
          </cell>
          <cell r="F762" t="str">
            <v>Yakubu Gowon Center for National Unity and International Cooperation</v>
          </cell>
        </row>
        <row r="763">
          <cell r="B763" t="str">
            <v>NGA-407-G10-M</v>
          </cell>
          <cell r="C763" t="str">
            <v>Financial Closure</v>
          </cell>
          <cell r="D763" t="str">
            <v>High Impact Africa 1</v>
          </cell>
          <cell r="E763" t="str">
            <v>NGA</v>
          </cell>
          <cell r="F763" t="str">
            <v>Society for Family Health</v>
          </cell>
        </row>
        <row r="764">
          <cell r="B764" t="str">
            <v>NGA-506-G06-T</v>
          </cell>
          <cell r="C764" t="str">
            <v>Financial Closure</v>
          </cell>
          <cell r="D764" t="str">
            <v>High Impact Africa 1</v>
          </cell>
          <cell r="E764" t="str">
            <v>NGA</v>
          </cell>
          <cell r="F764" t="str">
            <v>Christian Health Association of Nigeria</v>
          </cell>
        </row>
        <row r="765">
          <cell r="B765" t="str">
            <v>NGA-506-G07-H</v>
          </cell>
          <cell r="C765" t="str">
            <v>Administratively Closed</v>
          </cell>
          <cell r="D765" t="str">
            <v>High Impact Africa 1</v>
          </cell>
          <cell r="E765" t="str">
            <v>NGA</v>
          </cell>
          <cell r="F765" t="str">
            <v>National Agency for Control of AIDS</v>
          </cell>
        </row>
        <row r="766">
          <cell r="B766" t="str">
            <v>NGA-506-G08-H</v>
          </cell>
          <cell r="C766" t="str">
            <v>Administratively Closed</v>
          </cell>
          <cell r="D766" t="str">
            <v>High Impact Africa 1</v>
          </cell>
          <cell r="E766" t="str">
            <v>NGA</v>
          </cell>
          <cell r="F766" t="str">
            <v>Society for Family Health</v>
          </cell>
        </row>
        <row r="767">
          <cell r="B767" t="str">
            <v>NGA-506-G09-H</v>
          </cell>
          <cell r="C767" t="str">
            <v>Administratively Closed</v>
          </cell>
          <cell r="D767" t="str">
            <v>High Impact Africa 1</v>
          </cell>
          <cell r="E767" t="str">
            <v>NGA</v>
          </cell>
          <cell r="F767" t="str">
            <v>Association For Reproductive And Family Health (ARFH)</v>
          </cell>
        </row>
        <row r="768">
          <cell r="B768" t="str">
            <v>NGA-509-G15-T</v>
          </cell>
          <cell r="C768" t="str">
            <v>Administratively Closed</v>
          </cell>
          <cell r="D768" t="str">
            <v>High Impact Africa 1</v>
          </cell>
          <cell r="E768" t="str">
            <v>NGA</v>
          </cell>
          <cell r="F768" t="str">
            <v>Association For Reproductive And Family Health (ARFH)</v>
          </cell>
        </row>
        <row r="769">
          <cell r="B769" t="str">
            <v>NGA-809-G11-M</v>
          </cell>
          <cell r="C769" t="str">
            <v>Active</v>
          </cell>
          <cell r="D769" t="str">
            <v>High Impact Africa 1</v>
          </cell>
          <cell r="E769" t="str">
            <v>NGA</v>
          </cell>
          <cell r="F769" t="str">
            <v>Society for Family Health</v>
          </cell>
        </row>
        <row r="770">
          <cell r="B770" t="str">
            <v>NGA-809-G12-S</v>
          </cell>
          <cell r="C770" t="str">
            <v>Administratively Closed</v>
          </cell>
          <cell r="D770" t="str">
            <v>High Impact Africa 1</v>
          </cell>
          <cell r="E770" t="str">
            <v>NGA</v>
          </cell>
          <cell r="F770" t="str">
            <v>National Agency for Control of AIDS</v>
          </cell>
        </row>
        <row r="771">
          <cell r="B771" t="str">
            <v>NGA-809-G13-M</v>
          </cell>
          <cell r="C771" t="str">
            <v>Financial Closure</v>
          </cell>
          <cell r="D771" t="str">
            <v>High Impact Africa 1</v>
          </cell>
          <cell r="E771" t="str">
            <v>NGA</v>
          </cell>
          <cell r="F771" t="str">
            <v>Yakubu Gowon Center for National Unity and International Cooperation</v>
          </cell>
        </row>
        <row r="772">
          <cell r="B772" t="str">
            <v>NGA-809-G14-M</v>
          </cell>
          <cell r="C772" t="str">
            <v>Active</v>
          </cell>
          <cell r="D772" t="str">
            <v>High Impact Africa 1</v>
          </cell>
          <cell r="E772" t="str">
            <v>NGA</v>
          </cell>
          <cell r="F772" t="str">
            <v>National Malaria Control Programme, Ministry of Health of Nigeria</v>
          </cell>
        </row>
        <row r="773">
          <cell r="B773" t="str">
            <v>NGA-H-ARFH</v>
          </cell>
          <cell r="C773" t="str">
            <v>Active</v>
          </cell>
          <cell r="D773" t="str">
            <v>High Impact Africa 1</v>
          </cell>
          <cell r="E773" t="str">
            <v>NGA</v>
          </cell>
          <cell r="F773" t="str">
            <v>Association For Reproductive And Family Health (ARFH)</v>
          </cell>
        </row>
        <row r="774">
          <cell r="B774" t="str">
            <v>NGA-H-CiSHAN</v>
          </cell>
          <cell r="C774" t="str">
            <v>Financial Closure</v>
          </cell>
          <cell r="D774" t="str">
            <v>High Impact Africa 1</v>
          </cell>
          <cell r="E774" t="str">
            <v>NGA</v>
          </cell>
          <cell r="F774" t="str">
            <v>Civil Society for HIV/AIDS in Nigeria</v>
          </cell>
        </row>
        <row r="775">
          <cell r="B775" t="str">
            <v>NGA-H-NACA</v>
          </cell>
          <cell r="C775" t="str">
            <v>Active</v>
          </cell>
          <cell r="D775" t="str">
            <v>High Impact Africa 1</v>
          </cell>
          <cell r="E775" t="str">
            <v>NGA</v>
          </cell>
          <cell r="F775" t="str">
            <v>National Agency for Control of AIDS</v>
          </cell>
        </row>
        <row r="776">
          <cell r="B776" t="str">
            <v>NGA-H-PPF</v>
          </cell>
          <cell r="C776" t="str">
            <v>Administratively Closed</v>
          </cell>
          <cell r="D776" t="str">
            <v>High Impact Africa 1</v>
          </cell>
          <cell r="E776" t="str">
            <v>NGA</v>
          </cell>
          <cell r="F776" t="str">
            <v>Planned Parenthood Federation of Nigeria</v>
          </cell>
        </row>
        <row r="777">
          <cell r="B777" t="str">
            <v>NGA-H-SFHNG</v>
          </cell>
          <cell r="C777" t="str">
            <v>Active</v>
          </cell>
          <cell r="D777" t="str">
            <v>High Impact Africa 1</v>
          </cell>
          <cell r="E777" t="str">
            <v>NGA</v>
          </cell>
          <cell r="F777" t="str">
            <v>Society for Family Health</v>
          </cell>
        </row>
        <row r="778">
          <cell r="B778" t="str">
            <v>NGA-M-NMEP</v>
          </cell>
          <cell r="C778" t="str">
            <v>Active</v>
          </cell>
          <cell r="D778" t="str">
            <v>High Impact Africa 1</v>
          </cell>
          <cell r="E778" t="str">
            <v>NGA</v>
          </cell>
          <cell r="F778" t="str">
            <v>National Malaria Control Programme, Ministry of Health of Nigeria</v>
          </cell>
        </row>
        <row r="779">
          <cell r="B779" t="str">
            <v>NGA-M-SFH</v>
          </cell>
          <cell r="C779" t="str">
            <v>Active</v>
          </cell>
          <cell r="D779" t="str">
            <v>High Impact Africa 1</v>
          </cell>
          <cell r="E779" t="str">
            <v>NGA</v>
          </cell>
          <cell r="F779" t="str">
            <v>Society for Family Health</v>
          </cell>
        </row>
        <row r="780">
          <cell r="B780" t="str">
            <v>NGA-T-ARFH</v>
          </cell>
          <cell r="C780" t="str">
            <v>Active</v>
          </cell>
          <cell r="D780" t="str">
            <v>High Impact Africa 1</v>
          </cell>
          <cell r="E780" t="str">
            <v>NGA</v>
          </cell>
          <cell r="F780" t="str">
            <v>Association For Reproductive And Family Health (ARFH)</v>
          </cell>
        </row>
        <row r="781">
          <cell r="B781" t="str">
            <v>NGA-T-IHVN</v>
          </cell>
          <cell r="C781" t="str">
            <v>Active</v>
          </cell>
          <cell r="D781" t="str">
            <v>High Impact Africa 1</v>
          </cell>
          <cell r="E781" t="str">
            <v>NGA</v>
          </cell>
          <cell r="F781" t="str">
            <v>Institute of Human Virology Nigeria</v>
          </cell>
        </row>
        <row r="782">
          <cell r="B782" t="str">
            <v>Not Defined</v>
          </cell>
          <cell r="C782" t="str">
            <v>N.D.</v>
          </cell>
          <cell r="D782" t="str">
            <v>Not Defined</v>
          </cell>
          <cell r="F782" t="str">
            <v>Not Defined</v>
          </cell>
        </row>
        <row r="783">
          <cell r="B783" t="str">
            <v>PAK-M-DOMC</v>
          </cell>
          <cell r="C783" t="str">
            <v>N.D.</v>
          </cell>
          <cell r="D783" t="str">
            <v>High Impact Asia</v>
          </cell>
          <cell r="E783" t="str">
            <v>PAK</v>
          </cell>
          <cell r="F783" t="str">
            <v>Not Defined</v>
          </cell>
        </row>
        <row r="784">
          <cell r="B784" t="str">
            <v>PAK-M-SC</v>
          </cell>
          <cell r="C784" t="str">
            <v>N.D.</v>
          </cell>
          <cell r="D784" t="str">
            <v>High Impact Asia</v>
          </cell>
          <cell r="E784" t="str">
            <v>PAK</v>
          </cell>
          <cell r="F784" t="str">
            <v>Not Defined</v>
          </cell>
        </row>
        <row r="785">
          <cell r="B785" t="str">
            <v>PKS-202-G01-H-00</v>
          </cell>
          <cell r="C785" t="str">
            <v>Financial Closure</v>
          </cell>
          <cell r="D785" t="str">
            <v>High Impact Asia</v>
          </cell>
          <cell r="E785" t="str">
            <v>PAK</v>
          </cell>
          <cell r="F785" t="str">
            <v>National AIDS Control Programme, Ministry of Inter-Provincial Coordination</v>
          </cell>
        </row>
        <row r="786">
          <cell r="B786" t="str">
            <v>PKS-202-G02-M-00</v>
          </cell>
          <cell r="C786" t="str">
            <v>Financial Closure</v>
          </cell>
          <cell r="D786" t="str">
            <v>High Impact Asia</v>
          </cell>
          <cell r="E786" t="str">
            <v>PAK</v>
          </cell>
          <cell r="F786" t="str">
            <v>National AIDS Control Programme, Ministry of Inter-Provincial Coordination</v>
          </cell>
        </row>
        <row r="787">
          <cell r="B787" t="str">
            <v>PKS-202-G03-T-00</v>
          </cell>
          <cell r="C787" t="str">
            <v>Financial Closure</v>
          </cell>
          <cell r="D787" t="str">
            <v>High Impact Asia</v>
          </cell>
          <cell r="E787" t="str">
            <v>PAK</v>
          </cell>
          <cell r="F787" t="str">
            <v>National AIDS Control Programme, Ministry of Inter-Provincial Coordination</v>
          </cell>
        </row>
        <row r="788">
          <cell r="B788" t="str">
            <v>PKS-304-G04-M</v>
          </cell>
          <cell r="C788" t="str">
            <v>Financial Closure</v>
          </cell>
          <cell r="D788" t="str">
            <v>High Impact Asia</v>
          </cell>
          <cell r="E788" t="str">
            <v>PAK</v>
          </cell>
          <cell r="F788" t="str">
            <v>National AIDS Control Programme, Ministry of Inter-Provincial Coordination</v>
          </cell>
        </row>
        <row r="789">
          <cell r="B789" t="str">
            <v>PKS-304-G05-T</v>
          </cell>
          <cell r="C789" t="str">
            <v>Financial Closure</v>
          </cell>
          <cell r="D789" t="str">
            <v>High Impact Asia</v>
          </cell>
          <cell r="E789" t="str">
            <v>PAK</v>
          </cell>
          <cell r="F789" t="str">
            <v>National AIDS Control Programme, Ministry of Inter-Provincial Coordination</v>
          </cell>
        </row>
        <row r="790">
          <cell r="B790" t="str">
            <v>PKS-607-G06-T</v>
          </cell>
          <cell r="C790" t="str">
            <v>Administratively Closed</v>
          </cell>
          <cell r="D790" t="str">
            <v>High Impact Asia</v>
          </cell>
          <cell r="E790" t="str">
            <v>PAK</v>
          </cell>
          <cell r="F790" t="str">
            <v>Mercy Corps</v>
          </cell>
        </row>
        <row r="791">
          <cell r="B791" t="str">
            <v>PKS-607-G07-T</v>
          </cell>
          <cell r="C791" t="str">
            <v>Administratively Closed</v>
          </cell>
          <cell r="D791" t="str">
            <v>High Impact Asia</v>
          </cell>
          <cell r="E791" t="str">
            <v>PAK</v>
          </cell>
          <cell r="F791" t="str">
            <v>National TB Control Programme Pakistan</v>
          </cell>
        </row>
        <row r="792">
          <cell r="B792" t="str">
            <v>PKS-708-G08-M</v>
          </cell>
          <cell r="C792" t="str">
            <v>Administratively Closed</v>
          </cell>
          <cell r="D792" t="str">
            <v>High Impact Asia</v>
          </cell>
          <cell r="E792" t="str">
            <v>PAK</v>
          </cell>
          <cell r="F792" t="str">
            <v>Directorate of Malaria Control, Ministry of Inter-Provincial Coordination, Pakistan</v>
          </cell>
        </row>
        <row r="793">
          <cell r="B793" t="str">
            <v>PKS-809-G09-T</v>
          </cell>
          <cell r="C793" t="str">
            <v>Administratively Closed</v>
          </cell>
          <cell r="D793" t="str">
            <v>High Impact Asia</v>
          </cell>
          <cell r="E793" t="str">
            <v>PAK</v>
          </cell>
          <cell r="F793" t="str">
            <v>National TB Control Programme Pakistan</v>
          </cell>
        </row>
        <row r="794">
          <cell r="B794" t="str">
            <v>PKS-809-G10-T</v>
          </cell>
          <cell r="C794" t="str">
            <v>Active</v>
          </cell>
          <cell r="D794" t="str">
            <v>High Impact Asia</v>
          </cell>
          <cell r="E794" t="str">
            <v>PAK</v>
          </cell>
          <cell r="F794" t="str">
            <v>Green Star Social Marketing Pakistan (Guarantee) Limited</v>
          </cell>
        </row>
        <row r="795">
          <cell r="B795" t="str">
            <v>PKS-910-G11-T</v>
          </cell>
          <cell r="C795" t="str">
            <v>Administratively Closed</v>
          </cell>
          <cell r="D795" t="str">
            <v>High Impact Asia</v>
          </cell>
          <cell r="E795" t="str">
            <v>PAK</v>
          </cell>
          <cell r="F795" t="str">
            <v>National TB Control Programme Pakistan</v>
          </cell>
        </row>
        <row r="796">
          <cell r="B796" t="str">
            <v>PKS-910-G12-T</v>
          </cell>
          <cell r="C796" t="str">
            <v>Administratively Closed</v>
          </cell>
          <cell r="D796" t="str">
            <v>High Impact Asia</v>
          </cell>
          <cell r="E796" t="str">
            <v>PAK</v>
          </cell>
          <cell r="F796" t="str">
            <v>Mercy Corps</v>
          </cell>
        </row>
        <row r="797">
          <cell r="B797" t="str">
            <v>PKS-911-G13-H</v>
          </cell>
          <cell r="C797" t="str">
            <v>Administratively Closed</v>
          </cell>
          <cell r="D797" t="str">
            <v>High Impact Asia</v>
          </cell>
          <cell r="E797" t="str">
            <v>PAK</v>
          </cell>
          <cell r="F797" t="str">
            <v>National AIDS Control Programme, Ministry of Inter-Provincial Coordination</v>
          </cell>
        </row>
        <row r="798">
          <cell r="B798" t="str">
            <v>PKS-911-G14-H</v>
          </cell>
          <cell r="C798" t="str">
            <v>Administratively Closed</v>
          </cell>
          <cell r="D798" t="str">
            <v>High Impact Asia</v>
          </cell>
          <cell r="E798" t="str">
            <v>PAK</v>
          </cell>
          <cell r="F798" t="str">
            <v>Nai Zindagi Trust</v>
          </cell>
        </row>
        <row r="799">
          <cell r="B799" t="str">
            <v>PKS-H-NACP</v>
          </cell>
          <cell r="C799" t="str">
            <v>Active</v>
          </cell>
          <cell r="D799" t="str">
            <v>High Impact Asia</v>
          </cell>
          <cell r="E799" t="str">
            <v>PAK</v>
          </cell>
          <cell r="F799" t="str">
            <v>National AIDS Control Programme, Ministry of Inter-Provincial Coordination</v>
          </cell>
        </row>
        <row r="800">
          <cell r="B800" t="str">
            <v>PKS-H-NZ</v>
          </cell>
          <cell r="C800" t="str">
            <v>Active</v>
          </cell>
          <cell r="D800" t="str">
            <v>High Impact Asia</v>
          </cell>
          <cell r="E800" t="str">
            <v>PAK</v>
          </cell>
          <cell r="F800" t="str">
            <v>Nai Zindagi Trust</v>
          </cell>
        </row>
        <row r="801">
          <cell r="B801" t="str">
            <v>PKS-M-DOMC</v>
          </cell>
          <cell r="C801" t="str">
            <v>Active</v>
          </cell>
          <cell r="D801" t="str">
            <v>High Impact Asia</v>
          </cell>
          <cell r="E801" t="str">
            <v>PAK</v>
          </cell>
          <cell r="F801" t="str">
            <v>Directorate of Malaria Control, Ministry of Inter-Provincial Coordination, Pakistan</v>
          </cell>
        </row>
        <row r="802">
          <cell r="B802" t="str">
            <v>PKS-M-SC</v>
          </cell>
          <cell r="C802" t="str">
            <v>Active</v>
          </cell>
          <cell r="D802" t="str">
            <v>High Impact Asia</v>
          </cell>
          <cell r="E802" t="str">
            <v>PAK</v>
          </cell>
          <cell r="F802" t="str">
            <v>Save the Children, Pakistan</v>
          </cell>
        </row>
        <row r="803">
          <cell r="B803" t="str">
            <v>PKS-T-MC</v>
          </cell>
          <cell r="C803" t="str">
            <v>Active</v>
          </cell>
          <cell r="D803" t="str">
            <v>High Impact Asia</v>
          </cell>
          <cell r="E803" t="str">
            <v>PAK</v>
          </cell>
          <cell r="F803" t="str">
            <v>Mercy Corps</v>
          </cell>
        </row>
        <row r="804">
          <cell r="B804" t="str">
            <v>PKS-T-NTP</v>
          </cell>
          <cell r="C804" t="str">
            <v>Active</v>
          </cell>
          <cell r="D804" t="str">
            <v>High Impact Asia</v>
          </cell>
          <cell r="E804" t="str">
            <v>PAK</v>
          </cell>
          <cell r="F804" t="str">
            <v>National TB Control Programme Pakistan</v>
          </cell>
        </row>
        <row r="805">
          <cell r="B805" t="str">
            <v>PSE-708-G01-H</v>
          </cell>
          <cell r="C805" t="str">
            <v>Active</v>
          </cell>
          <cell r="D805" t="str">
            <v>Middle East and North Africa</v>
          </cell>
          <cell r="E805" t="str">
            <v>PSE</v>
          </cell>
          <cell r="F805" t="str">
            <v>United Nations Development Programme, Palestine</v>
          </cell>
        </row>
        <row r="806">
          <cell r="B806" t="str">
            <v>PSE-809-G02-T</v>
          </cell>
          <cell r="C806" t="str">
            <v>Active</v>
          </cell>
          <cell r="D806" t="str">
            <v>Middle East and North Africa</v>
          </cell>
          <cell r="E806" t="str">
            <v>PSE</v>
          </cell>
          <cell r="F806" t="str">
            <v>United Nations Development Programme, Palestine</v>
          </cell>
        </row>
        <row r="807">
          <cell r="B807" t="str">
            <v>PAN-102-G01-T-00</v>
          </cell>
          <cell r="C807" t="str">
            <v>Administratively Closed</v>
          </cell>
          <cell r="D807" t="str">
            <v>Latin America and Caribbean</v>
          </cell>
          <cell r="E807" t="str">
            <v>PAN</v>
          </cell>
          <cell r="F807" t="str">
            <v>United Nations Development Programme, Panama</v>
          </cell>
        </row>
        <row r="808">
          <cell r="B808" t="str">
            <v>PAN-H-CAI</v>
          </cell>
          <cell r="C808" t="str">
            <v>Active</v>
          </cell>
          <cell r="D808" t="str">
            <v>Latin America and Caribbean</v>
          </cell>
          <cell r="E808" t="str">
            <v>PAN</v>
          </cell>
          <cell r="F808" t="str">
            <v>Cicatelli Associates</v>
          </cell>
        </row>
        <row r="809">
          <cell r="B809" t="str">
            <v>PNG-012-G09-H</v>
          </cell>
          <cell r="C809" t="str">
            <v>Active</v>
          </cell>
          <cell r="D809" t="str">
            <v>South East Asia</v>
          </cell>
          <cell r="E809" t="str">
            <v>PNG</v>
          </cell>
          <cell r="F809" t="str">
            <v>Oil Search Health Foundation</v>
          </cell>
        </row>
        <row r="810">
          <cell r="B810" t="str">
            <v>PNG-304-G01-M</v>
          </cell>
          <cell r="C810" t="str">
            <v>Financial Closure</v>
          </cell>
          <cell r="D810" t="str">
            <v>South East Asia</v>
          </cell>
          <cell r="E810" t="str">
            <v>PNG</v>
          </cell>
          <cell r="F810" t="str">
            <v>Department of Health of Papua New Guinea</v>
          </cell>
        </row>
        <row r="811">
          <cell r="B811" t="str">
            <v>PNG-405-G02-H</v>
          </cell>
          <cell r="C811" t="str">
            <v>Financial Closure</v>
          </cell>
          <cell r="D811" t="str">
            <v>South East Asia</v>
          </cell>
          <cell r="E811" t="str">
            <v>PNG</v>
          </cell>
          <cell r="F811" t="str">
            <v>Department of Health of Papua New Guinea</v>
          </cell>
        </row>
        <row r="812">
          <cell r="B812" t="str">
            <v>PNG-607-G03-T</v>
          </cell>
          <cell r="C812" t="str">
            <v>Financial Closure</v>
          </cell>
          <cell r="D812" t="str">
            <v>South East Asia</v>
          </cell>
          <cell r="E812" t="str">
            <v>PNG</v>
          </cell>
          <cell r="F812" t="str">
            <v>Department of Health of Papua New Guinea</v>
          </cell>
        </row>
        <row r="813">
          <cell r="B813" t="str">
            <v>PNG-612-G07-T</v>
          </cell>
          <cell r="C813" t="str">
            <v>Active</v>
          </cell>
          <cell r="D813" t="str">
            <v>South East Asia</v>
          </cell>
          <cell r="E813" t="str">
            <v>PNG</v>
          </cell>
          <cell r="F813" t="str">
            <v>World Vision Papua New Guinea / USA</v>
          </cell>
        </row>
        <row r="814">
          <cell r="B814" t="str">
            <v>PNG-809-G04-M</v>
          </cell>
          <cell r="C814" t="str">
            <v>Financial Closure</v>
          </cell>
          <cell r="D814" t="str">
            <v>South East Asia</v>
          </cell>
          <cell r="E814" t="str">
            <v>PNG</v>
          </cell>
          <cell r="F814" t="str">
            <v>Department of Health of Papua New Guinea</v>
          </cell>
        </row>
        <row r="815">
          <cell r="B815" t="str">
            <v>PNG-809-G05-M</v>
          </cell>
          <cell r="C815" t="str">
            <v>Active</v>
          </cell>
          <cell r="D815" t="str">
            <v>South East Asia</v>
          </cell>
          <cell r="E815" t="str">
            <v>PNG</v>
          </cell>
          <cell r="F815" t="str">
            <v>Population Services International, Papua New Guinea</v>
          </cell>
        </row>
        <row r="816">
          <cell r="B816" t="str">
            <v>PNG-809-G06-M</v>
          </cell>
          <cell r="C816" t="str">
            <v>Active</v>
          </cell>
          <cell r="D816" t="str">
            <v>South East Asia</v>
          </cell>
          <cell r="E816" t="str">
            <v>PNG</v>
          </cell>
          <cell r="F816" t="str">
            <v>Rotarians Against Malaria - Rotary Club of Port Moresby</v>
          </cell>
        </row>
        <row r="817">
          <cell r="B817" t="str">
            <v>PNG-812-G08-M</v>
          </cell>
          <cell r="C817" t="str">
            <v>Active</v>
          </cell>
          <cell r="D817" t="str">
            <v>South East Asia</v>
          </cell>
          <cell r="E817" t="str">
            <v>PNG</v>
          </cell>
          <cell r="F817" t="str">
            <v>Oil Search Health Foundation</v>
          </cell>
        </row>
        <row r="818">
          <cell r="B818" t="str">
            <v>PNG-M-PSI</v>
          </cell>
          <cell r="C818" t="str">
            <v>Active</v>
          </cell>
          <cell r="D818" t="str">
            <v>South East Asia</v>
          </cell>
          <cell r="E818" t="str">
            <v>PNG</v>
          </cell>
          <cell r="F818" t="str">
            <v>Population Services International, Papua New Guinea</v>
          </cell>
        </row>
        <row r="819">
          <cell r="B819" t="str">
            <v>PNG-M-RAM</v>
          </cell>
          <cell r="C819" t="str">
            <v>Active</v>
          </cell>
          <cell r="D819" t="str">
            <v>South East Asia</v>
          </cell>
          <cell r="E819" t="str">
            <v>PNG</v>
          </cell>
          <cell r="F819" t="str">
            <v>Rotarians Against Malaria - Rotary Club of Port Moresby</v>
          </cell>
        </row>
        <row r="820">
          <cell r="B820" t="str">
            <v>PNG-T-WVI</v>
          </cell>
          <cell r="C820" t="str">
            <v>Active</v>
          </cell>
          <cell r="D820" t="str">
            <v>South East Asia</v>
          </cell>
          <cell r="E820" t="str">
            <v>PNG</v>
          </cell>
          <cell r="F820" t="str">
            <v>World Vision Papua New Guinea / USA</v>
          </cell>
        </row>
        <row r="821">
          <cell r="B821" t="str">
            <v>PRY-304-G01-T</v>
          </cell>
          <cell r="C821" t="str">
            <v>Administratively Closed</v>
          </cell>
          <cell r="D821" t="str">
            <v>Latin America and Caribbean</v>
          </cell>
          <cell r="E821" t="str">
            <v>PRY</v>
          </cell>
          <cell r="F821" t="str">
            <v>Alter Vida - Centro de Estudios y Formación para el Ecodesarrollo</v>
          </cell>
        </row>
        <row r="822">
          <cell r="B822" t="str">
            <v>PRY-607-G02-H</v>
          </cell>
          <cell r="C822" t="str">
            <v>Administratively Closed</v>
          </cell>
          <cell r="D822" t="str">
            <v>Latin America and Caribbean</v>
          </cell>
          <cell r="E822" t="str">
            <v>PRY</v>
          </cell>
          <cell r="F822" t="str">
            <v>Fundación Comunitaria Centro de Información y Recursos para el Desarrollo</v>
          </cell>
        </row>
        <row r="823">
          <cell r="B823" t="str">
            <v>PRY-708-G03-T</v>
          </cell>
          <cell r="C823" t="str">
            <v>Administratively Closed</v>
          </cell>
          <cell r="D823" t="str">
            <v>Latin America and Caribbean</v>
          </cell>
          <cell r="E823" t="str">
            <v>PRY</v>
          </cell>
          <cell r="F823" t="str">
            <v>Alter Vida - Centro de Estudios y Formación para el Ecodesarrollo</v>
          </cell>
        </row>
        <row r="824">
          <cell r="B824" t="str">
            <v>PRY-809-G04-H</v>
          </cell>
          <cell r="C824" t="str">
            <v>Active</v>
          </cell>
          <cell r="D824" t="str">
            <v>Latin America and Caribbean</v>
          </cell>
          <cell r="E824" t="str">
            <v>PRY</v>
          </cell>
          <cell r="F824" t="str">
            <v>Fundación Comunitaria Centro de Información y Recursos para el Desarrollo</v>
          </cell>
        </row>
        <row r="825">
          <cell r="B825" t="str">
            <v>PRY-910-G06-S</v>
          </cell>
          <cell r="C825" t="str">
            <v>Active</v>
          </cell>
          <cell r="D825" t="str">
            <v>Latin America and Caribbean</v>
          </cell>
          <cell r="E825" t="str">
            <v>PRY</v>
          </cell>
          <cell r="F825" t="str">
            <v>Fundación Comunitaria Centro de Información y Recursos para el Desarrollo</v>
          </cell>
        </row>
        <row r="826">
          <cell r="B826" t="str">
            <v>PRY-H-CIRD</v>
          </cell>
          <cell r="C826" t="str">
            <v>N.D.</v>
          </cell>
          <cell r="D826" t="str">
            <v>Latin America and Caribbean</v>
          </cell>
          <cell r="E826" t="str">
            <v>PRY</v>
          </cell>
          <cell r="F826" t="str">
            <v>Not Defined</v>
          </cell>
        </row>
        <row r="827">
          <cell r="B827" t="str">
            <v>PRY-T-AV</v>
          </cell>
          <cell r="C827" t="str">
            <v>Active</v>
          </cell>
          <cell r="D827" t="str">
            <v>Latin America and Caribbean</v>
          </cell>
          <cell r="E827" t="str">
            <v>PRY</v>
          </cell>
          <cell r="F827" t="str">
            <v>Alter Vida - Centro de Estudios y Formación para el Ecodesarrollo</v>
          </cell>
        </row>
        <row r="828">
          <cell r="B828" t="str">
            <v>PER-011-G08-H</v>
          </cell>
          <cell r="C828" t="str">
            <v>Financial Closure</v>
          </cell>
          <cell r="D828" t="str">
            <v>Latin America and Caribbean</v>
          </cell>
          <cell r="E828" t="str">
            <v>PER</v>
          </cell>
          <cell r="F828" t="str">
            <v>Instituto Peruano de Paternidad</v>
          </cell>
        </row>
        <row r="829">
          <cell r="B829" t="str">
            <v>PER-202-G01-H-00</v>
          </cell>
          <cell r="C829" t="str">
            <v>Administratively Closed</v>
          </cell>
          <cell r="D829" t="str">
            <v>Latin America and Caribbean</v>
          </cell>
          <cell r="E829" t="str">
            <v>PER</v>
          </cell>
          <cell r="F829" t="str">
            <v>CARE Peru</v>
          </cell>
        </row>
        <row r="830">
          <cell r="B830" t="str">
            <v>PER-202-G02-T-00</v>
          </cell>
          <cell r="C830" t="str">
            <v>Administratively Closed</v>
          </cell>
          <cell r="D830" t="str">
            <v>Latin America and Caribbean</v>
          </cell>
          <cell r="E830" t="str">
            <v>PER</v>
          </cell>
          <cell r="F830" t="str">
            <v>CARE Peru</v>
          </cell>
        </row>
        <row r="831">
          <cell r="B831" t="str">
            <v>PER-506-G03-H</v>
          </cell>
          <cell r="C831" t="str">
            <v>Administratively Closed</v>
          </cell>
          <cell r="D831" t="str">
            <v>Latin America and Caribbean</v>
          </cell>
          <cell r="E831" t="str">
            <v>PER</v>
          </cell>
          <cell r="F831" t="str">
            <v>CARE Peru</v>
          </cell>
        </row>
        <row r="832">
          <cell r="B832" t="str">
            <v>PER-506-G04-T</v>
          </cell>
          <cell r="C832" t="str">
            <v>Administratively Closed</v>
          </cell>
          <cell r="D832" t="str">
            <v>Latin America and Caribbean</v>
          </cell>
          <cell r="E832" t="str">
            <v>PER</v>
          </cell>
          <cell r="F832" t="str">
            <v>CARE Peru</v>
          </cell>
        </row>
        <row r="833">
          <cell r="B833" t="str">
            <v>PER-607-G05-H</v>
          </cell>
          <cell r="C833" t="str">
            <v>Financial Closure</v>
          </cell>
          <cell r="D833" t="str">
            <v>Latin America and Caribbean</v>
          </cell>
          <cell r="E833" t="str">
            <v>PER</v>
          </cell>
          <cell r="F833" t="str">
            <v>CARE Peru</v>
          </cell>
        </row>
        <row r="834">
          <cell r="B834" t="str">
            <v>PER-809-G06-T</v>
          </cell>
          <cell r="C834" t="str">
            <v>Active</v>
          </cell>
          <cell r="D834" t="str">
            <v>Latin America and Caribbean</v>
          </cell>
          <cell r="E834" t="str">
            <v>PER</v>
          </cell>
          <cell r="F834" t="str">
            <v>Pathfinder International</v>
          </cell>
        </row>
        <row r="835">
          <cell r="B835" t="str">
            <v>PER-809-G07-T</v>
          </cell>
          <cell r="C835" t="str">
            <v>Active</v>
          </cell>
          <cell r="D835" t="str">
            <v>Latin America and Caribbean</v>
          </cell>
          <cell r="E835" t="str">
            <v>PER</v>
          </cell>
          <cell r="F835" t="str">
            <v>Ministry of Health (PARSALUD)</v>
          </cell>
        </row>
        <row r="836">
          <cell r="B836" t="str">
            <v>PER-H-PARSALU</v>
          </cell>
          <cell r="C836" t="str">
            <v>Active</v>
          </cell>
          <cell r="D836" t="str">
            <v>Latin America and Caribbean</v>
          </cell>
          <cell r="E836" t="str">
            <v>PER</v>
          </cell>
          <cell r="F836" t="str">
            <v>Ministry of Health (PARSALUD)</v>
          </cell>
        </row>
        <row r="837">
          <cell r="B837" t="str">
            <v>PHL-202-G01-M-00</v>
          </cell>
          <cell r="C837" t="str">
            <v>Administratively Closed</v>
          </cell>
          <cell r="D837" t="str">
            <v>High Impact Asia</v>
          </cell>
          <cell r="E837" t="str">
            <v>PHL</v>
          </cell>
          <cell r="F837" t="str">
            <v>Tropical Disease Foundation Inc.</v>
          </cell>
        </row>
        <row r="838">
          <cell r="B838" t="str">
            <v>PHL-202-G02-T-00</v>
          </cell>
          <cell r="C838" t="str">
            <v>Administratively Closed</v>
          </cell>
          <cell r="D838" t="str">
            <v>High Impact Asia</v>
          </cell>
          <cell r="E838" t="str">
            <v>PHL</v>
          </cell>
          <cell r="F838" t="str">
            <v>Tropical Disease Foundation Inc.</v>
          </cell>
        </row>
        <row r="839">
          <cell r="B839" t="str">
            <v>PHL-202-G09-M</v>
          </cell>
          <cell r="C839" t="str">
            <v>Active</v>
          </cell>
          <cell r="D839" t="str">
            <v>High Impact Asia</v>
          </cell>
          <cell r="E839" t="str">
            <v>PHL</v>
          </cell>
          <cell r="F839" t="str">
            <v>Pilipinas Shell Foundation Inc.</v>
          </cell>
        </row>
        <row r="840">
          <cell r="B840" t="str">
            <v>PHL-210-G11-T</v>
          </cell>
          <cell r="C840" t="str">
            <v>Administratively Closed</v>
          </cell>
          <cell r="D840" t="str">
            <v>High Impact Asia</v>
          </cell>
          <cell r="E840" t="str">
            <v>PHL</v>
          </cell>
          <cell r="F840" t="str">
            <v>Philippine Business for Social Progress</v>
          </cell>
        </row>
        <row r="841">
          <cell r="B841" t="str">
            <v>PHL-304-G03-H</v>
          </cell>
          <cell r="C841" t="str">
            <v>Administratively Closed</v>
          </cell>
          <cell r="D841" t="str">
            <v>High Impact Asia</v>
          </cell>
          <cell r="E841" t="str">
            <v>PHL</v>
          </cell>
          <cell r="F841" t="str">
            <v>Tropical Disease Foundation Inc.</v>
          </cell>
        </row>
        <row r="842">
          <cell r="B842" t="str">
            <v>PHL-506-G04-H</v>
          </cell>
          <cell r="C842" t="str">
            <v>Administratively Closed</v>
          </cell>
          <cell r="D842" t="str">
            <v>High Impact Asia</v>
          </cell>
          <cell r="E842" t="str">
            <v>PHL</v>
          </cell>
          <cell r="F842" t="str">
            <v>Tropical Disease Foundation Inc.</v>
          </cell>
        </row>
        <row r="843">
          <cell r="B843" t="str">
            <v>PHL-506-G05-M</v>
          </cell>
          <cell r="C843" t="str">
            <v>Administratively Closed</v>
          </cell>
          <cell r="D843" t="str">
            <v>High Impact Asia</v>
          </cell>
          <cell r="E843" t="str">
            <v>PHL</v>
          </cell>
          <cell r="F843" t="str">
            <v>Pilipinas Shell Foundation Inc.</v>
          </cell>
        </row>
        <row r="844">
          <cell r="B844" t="str">
            <v>PHL-506-G06-T</v>
          </cell>
          <cell r="C844" t="str">
            <v>Administratively Closed</v>
          </cell>
          <cell r="D844" t="str">
            <v>High Impact Asia</v>
          </cell>
          <cell r="E844" t="str">
            <v>PHL</v>
          </cell>
          <cell r="F844" t="str">
            <v>Tropical Disease Foundation Inc.</v>
          </cell>
        </row>
        <row r="845">
          <cell r="B845" t="str">
            <v>PHL-509-G10-H</v>
          </cell>
          <cell r="C845" t="str">
            <v>Administratively Closed</v>
          </cell>
          <cell r="D845" t="str">
            <v>High Impact Asia</v>
          </cell>
          <cell r="E845" t="str">
            <v>PHL</v>
          </cell>
          <cell r="F845" t="str">
            <v>Department of Health, Philippines</v>
          </cell>
        </row>
        <row r="846">
          <cell r="B846" t="str">
            <v>PHL-607-G07-M</v>
          </cell>
          <cell r="C846" t="str">
            <v>Administratively Closed</v>
          </cell>
          <cell r="D846" t="str">
            <v>High Impact Asia</v>
          </cell>
          <cell r="E846" t="str">
            <v>PHL</v>
          </cell>
          <cell r="F846" t="str">
            <v>Tropical Disease Foundation Inc.</v>
          </cell>
        </row>
        <row r="847">
          <cell r="B847" t="str">
            <v>PHL-607-G08-H</v>
          </cell>
          <cell r="C847" t="str">
            <v>Active</v>
          </cell>
          <cell r="D847" t="str">
            <v>High Impact Asia</v>
          </cell>
          <cell r="E847" t="str">
            <v>PHL</v>
          </cell>
          <cell r="F847" t="str">
            <v>Department of Health, Philippines</v>
          </cell>
        </row>
        <row r="848">
          <cell r="B848" t="str">
            <v>PHL-H-SC</v>
          </cell>
          <cell r="C848" t="str">
            <v>N.D.</v>
          </cell>
          <cell r="D848" t="str">
            <v>High Impact Asia</v>
          </cell>
          <cell r="E848" t="str">
            <v>PHL</v>
          </cell>
          <cell r="F848" t="str">
            <v>Not Defined</v>
          </cell>
        </row>
        <row r="849">
          <cell r="B849" t="str">
            <v>PHL-M-PSFI</v>
          </cell>
          <cell r="C849" t="str">
            <v>Active</v>
          </cell>
          <cell r="D849" t="str">
            <v>High Impact Asia</v>
          </cell>
          <cell r="E849" t="str">
            <v>PHL</v>
          </cell>
          <cell r="F849" t="str">
            <v>Pilipinas Shell Foundation Inc.</v>
          </cell>
        </row>
        <row r="850">
          <cell r="B850" t="str">
            <v>PHL-T-PBSP</v>
          </cell>
          <cell r="C850" t="str">
            <v>Active</v>
          </cell>
          <cell r="D850" t="str">
            <v>High Impact Asia</v>
          </cell>
          <cell r="E850" t="str">
            <v>PHL</v>
          </cell>
          <cell r="F850" t="str">
            <v>Philippine Business for Social Progress</v>
          </cell>
        </row>
        <row r="851">
          <cell r="B851" t="str">
            <v>ROM-202-G01-H-00</v>
          </cell>
          <cell r="C851" t="str">
            <v>Administratively Closed</v>
          </cell>
          <cell r="D851" t="str">
            <v>Eastern Europe and Central Asia</v>
          </cell>
          <cell r="E851" t="str">
            <v>ROU</v>
          </cell>
          <cell r="F851" t="str">
            <v>Ministry of Health and Family of Romania</v>
          </cell>
        </row>
        <row r="852">
          <cell r="B852" t="str">
            <v>ROM-202-G02-T-00</v>
          </cell>
          <cell r="C852" t="str">
            <v>Administratively Closed</v>
          </cell>
          <cell r="D852" t="str">
            <v>Eastern Europe and Central Asia</v>
          </cell>
          <cell r="E852" t="str">
            <v>ROU</v>
          </cell>
          <cell r="F852" t="str">
            <v>Ministry of Health and Family of Romania</v>
          </cell>
        </row>
        <row r="853">
          <cell r="B853" t="str">
            <v>ROM-607-G03-H</v>
          </cell>
          <cell r="C853" t="str">
            <v>Administratively Closed</v>
          </cell>
          <cell r="D853" t="str">
            <v>Eastern Europe and Central Asia</v>
          </cell>
          <cell r="E853" t="str">
            <v>ROU</v>
          </cell>
          <cell r="F853" t="str">
            <v>Romanian Angel Appeal Foundation</v>
          </cell>
        </row>
        <row r="854">
          <cell r="B854" t="str">
            <v>ROM-607-G04-T</v>
          </cell>
          <cell r="C854" t="str">
            <v>Active</v>
          </cell>
          <cell r="D854" t="str">
            <v>Eastern Europe and Central Asia</v>
          </cell>
          <cell r="E854" t="str">
            <v>ROU</v>
          </cell>
          <cell r="F854" t="str">
            <v>Romanian Angel Appeal Foundation</v>
          </cell>
        </row>
        <row r="855">
          <cell r="B855" t="str">
            <v>ROU-T-RAA</v>
          </cell>
          <cell r="C855" t="str">
            <v>N.D.</v>
          </cell>
          <cell r="D855" t="str">
            <v>Eastern Europe and Central Asia</v>
          </cell>
          <cell r="E855" t="str">
            <v>ROU</v>
          </cell>
          <cell r="F855" t="str">
            <v>Not Defined</v>
          </cell>
        </row>
        <row r="856">
          <cell r="B856" t="str">
            <v>RUS-304-G01-H</v>
          </cell>
          <cell r="C856" t="str">
            <v>Active</v>
          </cell>
          <cell r="D856" t="str">
            <v>Eastern Europe and Central Asia</v>
          </cell>
          <cell r="E856" t="str">
            <v>RUS</v>
          </cell>
          <cell r="F856" t="str">
            <v>Open Health Institute</v>
          </cell>
        </row>
        <row r="857">
          <cell r="B857" t="str">
            <v>RUS-304-G02-T</v>
          </cell>
          <cell r="C857" t="str">
            <v>Financial Closure</v>
          </cell>
          <cell r="D857" t="str">
            <v>Eastern Europe and Central Asia</v>
          </cell>
          <cell r="E857" t="str">
            <v>RUS</v>
          </cell>
          <cell r="F857" t="str">
            <v>Partners In Health</v>
          </cell>
        </row>
        <row r="858">
          <cell r="B858" t="str">
            <v>RUS-405-G03-H</v>
          </cell>
          <cell r="C858" t="str">
            <v>Administratively Closed</v>
          </cell>
          <cell r="D858" t="str">
            <v>Eastern Europe and Central Asia</v>
          </cell>
          <cell r="E858" t="str">
            <v>RUS</v>
          </cell>
          <cell r="F858" t="str">
            <v>Russian Health Care Foundation</v>
          </cell>
        </row>
        <row r="859">
          <cell r="B859" t="str">
            <v>RUS-405-G04-T</v>
          </cell>
          <cell r="C859" t="str">
            <v>Financially Closed</v>
          </cell>
          <cell r="D859" t="str">
            <v>Eastern Europe and Central Asia</v>
          </cell>
          <cell r="E859" t="str">
            <v>RUS</v>
          </cell>
          <cell r="F859" t="str">
            <v>Russian Health Care Foundation</v>
          </cell>
        </row>
        <row r="860">
          <cell r="B860" t="str">
            <v>RUS-506-G05-H</v>
          </cell>
          <cell r="C860" t="str">
            <v>Active</v>
          </cell>
          <cell r="D860" t="str">
            <v>Eastern Europe and Central Asia</v>
          </cell>
          <cell r="E860" t="str">
            <v>RUS</v>
          </cell>
          <cell r="F860" t="str">
            <v>Russian Harm Reduction Network</v>
          </cell>
        </row>
        <row r="861">
          <cell r="B861" t="str">
            <v>RWA-M-MOH</v>
          </cell>
          <cell r="C861" t="str">
            <v>Active</v>
          </cell>
          <cell r="D861" t="str">
            <v>Southern and Eastern Africa</v>
          </cell>
          <cell r="E861" t="str">
            <v>RWA</v>
          </cell>
          <cell r="F861" t="str">
            <v>Ministry of Health of Rwanda</v>
          </cell>
        </row>
        <row r="862">
          <cell r="B862" t="str">
            <v>RWN-102-G01-C-00</v>
          </cell>
          <cell r="C862" t="str">
            <v>Administratively Closed</v>
          </cell>
          <cell r="D862" t="str">
            <v>Southern and Eastern Africa</v>
          </cell>
          <cell r="E862" t="str">
            <v>RWA</v>
          </cell>
          <cell r="F862" t="str">
            <v>Ministry of Health of Rwanda</v>
          </cell>
        </row>
        <row r="863">
          <cell r="B863" t="str">
            <v>RWN-304-G02-H</v>
          </cell>
          <cell r="C863" t="str">
            <v>Administratively Closed</v>
          </cell>
          <cell r="D863" t="str">
            <v>Southern and Eastern Africa</v>
          </cell>
          <cell r="E863" t="str">
            <v>RWA</v>
          </cell>
          <cell r="F863" t="str">
            <v>Comité National de la Lutte contre le SIDA, Rwanda</v>
          </cell>
        </row>
        <row r="864">
          <cell r="B864" t="str">
            <v>RWN-304-G03-M</v>
          </cell>
          <cell r="C864" t="str">
            <v>Administratively Closed</v>
          </cell>
          <cell r="D864" t="str">
            <v>Southern and Eastern Africa</v>
          </cell>
          <cell r="E864" t="str">
            <v>RWA</v>
          </cell>
          <cell r="F864" t="str">
            <v>Ministry of Health of Rwanda</v>
          </cell>
        </row>
        <row r="865">
          <cell r="B865" t="str">
            <v>RWN-404-G04-T</v>
          </cell>
          <cell r="C865" t="str">
            <v>Administratively Closed</v>
          </cell>
          <cell r="D865" t="str">
            <v>Southern and Eastern Africa</v>
          </cell>
          <cell r="E865" t="str">
            <v>RWA</v>
          </cell>
          <cell r="F865" t="str">
            <v>Ministry of Health of Rwanda</v>
          </cell>
        </row>
        <row r="866">
          <cell r="B866" t="str">
            <v>RWN-505-G05-S</v>
          </cell>
          <cell r="C866" t="str">
            <v>Administratively Closed</v>
          </cell>
          <cell r="D866" t="str">
            <v>Southern and Eastern Africa</v>
          </cell>
          <cell r="E866" t="str">
            <v>RWA</v>
          </cell>
          <cell r="F866" t="str">
            <v>Ministry of Health of Rwanda</v>
          </cell>
        </row>
        <row r="867">
          <cell r="B867" t="str">
            <v>RWN-506-G06-M</v>
          </cell>
          <cell r="C867" t="str">
            <v>Financial Closure</v>
          </cell>
          <cell r="D867" t="str">
            <v>Southern and Eastern Africa</v>
          </cell>
          <cell r="E867" t="str">
            <v>RWA</v>
          </cell>
          <cell r="F867" t="str">
            <v>Ministry of Health of Rwanda</v>
          </cell>
        </row>
        <row r="868">
          <cell r="B868" t="str">
            <v>RWN-606-G07-T</v>
          </cell>
          <cell r="C868" t="str">
            <v>Administratively Closed</v>
          </cell>
          <cell r="D868" t="str">
            <v>Southern and Eastern Africa</v>
          </cell>
          <cell r="E868" t="str">
            <v>RWA</v>
          </cell>
          <cell r="F868" t="str">
            <v>Ministry of Health of Rwanda</v>
          </cell>
        </row>
        <row r="869">
          <cell r="B869" t="str">
            <v>RWN-607-G08-H</v>
          </cell>
          <cell r="C869" t="str">
            <v>Administratively Closed</v>
          </cell>
          <cell r="D869" t="str">
            <v>Southern and Eastern Africa</v>
          </cell>
          <cell r="E869" t="str">
            <v>RWA</v>
          </cell>
          <cell r="F869" t="str">
            <v>Comité National de la Lutte contre le SIDA, Rwanda</v>
          </cell>
        </row>
        <row r="870">
          <cell r="B870" t="str">
            <v>RWN-708-G09-H</v>
          </cell>
          <cell r="C870" t="str">
            <v>Administratively Closed</v>
          </cell>
          <cell r="D870" t="str">
            <v>Southern and Eastern Africa</v>
          </cell>
          <cell r="E870" t="str">
            <v>RWA</v>
          </cell>
          <cell r="F870" t="str">
            <v>Comité National de la Lutte contre le SIDA, Rwanda</v>
          </cell>
        </row>
        <row r="871">
          <cell r="B871" t="str">
            <v>RWN-809-G10-M</v>
          </cell>
          <cell r="C871" t="str">
            <v>Administratively Closed</v>
          </cell>
          <cell r="D871" t="str">
            <v>Southern and Eastern Africa</v>
          </cell>
          <cell r="E871" t="str">
            <v>RWA</v>
          </cell>
          <cell r="F871" t="str">
            <v>Ministry of Health of Rwanda</v>
          </cell>
        </row>
        <row r="872">
          <cell r="B872" t="str">
            <v>RWN-H-MoH</v>
          </cell>
          <cell r="C872" t="str">
            <v>Active</v>
          </cell>
          <cell r="D872" t="str">
            <v>Southern and Eastern Africa</v>
          </cell>
          <cell r="E872" t="str">
            <v>RWA</v>
          </cell>
          <cell r="F872" t="str">
            <v>Ministry of Health of Rwanda</v>
          </cell>
        </row>
        <row r="873">
          <cell r="B873" t="str">
            <v>RWN-M-MoH</v>
          </cell>
          <cell r="C873" t="str">
            <v>Active</v>
          </cell>
          <cell r="D873" t="str">
            <v>Southern and Eastern Africa</v>
          </cell>
          <cell r="E873" t="str">
            <v>RWA</v>
          </cell>
          <cell r="F873" t="str">
            <v>Ministry of Health of Rwanda</v>
          </cell>
        </row>
        <row r="874">
          <cell r="B874" t="str">
            <v>RWN-T-MoH</v>
          </cell>
          <cell r="C874" t="str">
            <v>Active</v>
          </cell>
          <cell r="D874" t="str">
            <v>Southern and Eastern Africa</v>
          </cell>
          <cell r="E874" t="str">
            <v>RWA</v>
          </cell>
          <cell r="F874" t="str">
            <v>Ministry of Health of Rwanda</v>
          </cell>
        </row>
        <row r="875">
          <cell r="B875" t="str">
            <v>STP-011-G05-H</v>
          </cell>
          <cell r="C875" t="str">
            <v>Active</v>
          </cell>
          <cell r="D875" t="str">
            <v>Western Africa</v>
          </cell>
          <cell r="E875" t="str">
            <v>STP</v>
          </cell>
          <cell r="F875" t="str">
            <v>United Nations Development Programme, Sao Tome and Principe</v>
          </cell>
        </row>
        <row r="876">
          <cell r="B876" t="str">
            <v>STP-405-G01-M</v>
          </cell>
          <cell r="C876" t="str">
            <v>Administratively Closed</v>
          </cell>
          <cell r="D876" t="str">
            <v>Western Africa</v>
          </cell>
          <cell r="E876" t="str">
            <v>STP</v>
          </cell>
          <cell r="F876" t="str">
            <v>United Nations Development Programme, Sao Tome and Principe</v>
          </cell>
        </row>
        <row r="877">
          <cell r="B877" t="str">
            <v>STP-506-G02-H</v>
          </cell>
          <cell r="C877" t="str">
            <v>Financially Closed</v>
          </cell>
          <cell r="D877" t="str">
            <v>Western Africa</v>
          </cell>
          <cell r="E877" t="str">
            <v>STP</v>
          </cell>
          <cell r="F877" t="str">
            <v>United Nations Development Programme, Sao Tome and Principe</v>
          </cell>
        </row>
        <row r="878">
          <cell r="B878" t="str">
            <v>STP-708-G03-M</v>
          </cell>
          <cell r="C878" t="str">
            <v>Administratively Closed</v>
          </cell>
          <cell r="D878" t="str">
            <v>Western Africa</v>
          </cell>
          <cell r="E878" t="str">
            <v>STP</v>
          </cell>
          <cell r="F878" t="str">
            <v>United Nations Development Programme, Sao Tome and Principe</v>
          </cell>
        </row>
        <row r="879">
          <cell r="B879" t="str">
            <v>STP-809-G04-T</v>
          </cell>
          <cell r="C879" t="str">
            <v>Active</v>
          </cell>
          <cell r="D879" t="str">
            <v>Western Africa</v>
          </cell>
          <cell r="E879" t="str">
            <v>STP</v>
          </cell>
          <cell r="F879" t="str">
            <v>United Nations Development Programme, Sao Tome and Principe</v>
          </cell>
        </row>
        <row r="880">
          <cell r="B880" t="str">
            <v>STP-M-UNDP</v>
          </cell>
          <cell r="C880" t="str">
            <v>Active</v>
          </cell>
          <cell r="D880" t="str">
            <v>Western Africa</v>
          </cell>
          <cell r="E880" t="str">
            <v>STP</v>
          </cell>
          <cell r="F880" t="str">
            <v>United Nations Development Programme, Sao Tome and Principe</v>
          </cell>
        </row>
        <row r="881">
          <cell r="B881" t="str">
            <v>SEN-M-IntraH</v>
          </cell>
          <cell r="C881" t="str">
            <v>Active</v>
          </cell>
          <cell r="D881" t="str">
            <v>Western Africa</v>
          </cell>
          <cell r="E881" t="str">
            <v>SEN</v>
          </cell>
          <cell r="F881" t="str">
            <v>IntraHealth International</v>
          </cell>
        </row>
        <row r="882">
          <cell r="B882" t="str">
            <v>SEN-M-PNLP</v>
          </cell>
          <cell r="C882" t="str">
            <v>Active</v>
          </cell>
          <cell r="D882" t="str">
            <v>Western Africa</v>
          </cell>
          <cell r="E882" t="str">
            <v>SEN</v>
          </cell>
          <cell r="F882" t="str">
            <v>Ministry of Health and Social Action of Senegal</v>
          </cell>
        </row>
        <row r="883">
          <cell r="B883" t="str">
            <v>SNG-102-G01-H-00</v>
          </cell>
          <cell r="C883" t="str">
            <v>Administratively Closed</v>
          </cell>
          <cell r="D883" t="str">
            <v>Western Africa</v>
          </cell>
          <cell r="E883" t="str">
            <v>SEN</v>
          </cell>
          <cell r="F883" t="str">
            <v>Conseil National de Lutte Contre le SIDA, Senegal</v>
          </cell>
        </row>
        <row r="884">
          <cell r="B884" t="str">
            <v>SNG-102-G02-M-00</v>
          </cell>
          <cell r="C884" t="str">
            <v>Administratively Closed</v>
          </cell>
          <cell r="D884" t="str">
            <v>Western Africa</v>
          </cell>
          <cell r="E884" t="str">
            <v>SEN</v>
          </cell>
          <cell r="F884" t="str">
            <v>Ministry of Health and Medical Prevention of Senegal</v>
          </cell>
        </row>
        <row r="885">
          <cell r="B885" t="str">
            <v>SNG-102-G04-H-00</v>
          </cell>
          <cell r="C885" t="str">
            <v>Administratively Closed</v>
          </cell>
          <cell r="D885" t="str">
            <v>Western Africa</v>
          </cell>
          <cell r="E885" t="str">
            <v>SEN</v>
          </cell>
          <cell r="F885" t="str">
            <v>Alliance Nationale Contre le SIDA, Senegal</v>
          </cell>
        </row>
        <row r="886">
          <cell r="B886" t="str">
            <v>SNG-405-G03-M</v>
          </cell>
          <cell r="C886" t="str">
            <v>Financial Closure</v>
          </cell>
          <cell r="D886" t="str">
            <v>Western Africa</v>
          </cell>
          <cell r="E886" t="str">
            <v>SEN</v>
          </cell>
          <cell r="F886" t="str">
            <v>Ministry of Health and Medical Prevention of Senegal</v>
          </cell>
        </row>
        <row r="887">
          <cell r="B887" t="str">
            <v>SNG-607-G05-H</v>
          </cell>
          <cell r="C887" t="str">
            <v>Administratively Closed</v>
          </cell>
          <cell r="D887" t="str">
            <v>Western Africa</v>
          </cell>
          <cell r="E887" t="str">
            <v>SEN</v>
          </cell>
          <cell r="F887" t="str">
            <v>Conseil National de Lutte Contre le SIDA, Senegal</v>
          </cell>
        </row>
        <row r="888">
          <cell r="B888" t="str">
            <v>SNG-607-G06-H</v>
          </cell>
          <cell r="C888" t="str">
            <v>Administratively Closed</v>
          </cell>
          <cell r="D888" t="str">
            <v>Western Africa</v>
          </cell>
          <cell r="E888" t="str">
            <v>SEN</v>
          </cell>
          <cell r="F888" t="str">
            <v>Alliance Nationale Contre le SIDA, Senegal</v>
          </cell>
        </row>
        <row r="889">
          <cell r="B889" t="str">
            <v>SNG-708-G07-M</v>
          </cell>
          <cell r="C889" t="str">
            <v>Administratively Closed</v>
          </cell>
          <cell r="D889" t="str">
            <v>Western Africa</v>
          </cell>
          <cell r="E889" t="str">
            <v>SEN</v>
          </cell>
          <cell r="F889" t="str">
            <v>Ministry of Health and Medical Prevention of Senegal</v>
          </cell>
        </row>
        <row r="890">
          <cell r="B890" t="str">
            <v>SNG-708-G08-T</v>
          </cell>
          <cell r="C890" t="str">
            <v>Administratively Closed</v>
          </cell>
          <cell r="D890" t="str">
            <v>Western Africa</v>
          </cell>
          <cell r="E890" t="str">
            <v>SEN</v>
          </cell>
          <cell r="F890" t="str">
            <v>Ministry of Health and Medical Prevention of Senegal</v>
          </cell>
        </row>
        <row r="891">
          <cell r="B891" t="str">
            <v>SNG-H-ANCS</v>
          </cell>
          <cell r="C891" t="str">
            <v>Active</v>
          </cell>
          <cell r="D891" t="str">
            <v>Western Africa</v>
          </cell>
          <cell r="E891" t="str">
            <v>SEN</v>
          </cell>
          <cell r="F891" t="str">
            <v>Alliance Nationale Contre le SIDA, Senegal</v>
          </cell>
        </row>
        <row r="892">
          <cell r="B892" t="str">
            <v>SNG-H-CNLS</v>
          </cell>
          <cell r="C892" t="str">
            <v>Active</v>
          </cell>
          <cell r="D892" t="str">
            <v>Western Africa</v>
          </cell>
          <cell r="E892" t="str">
            <v>SEN</v>
          </cell>
          <cell r="F892" t="str">
            <v>Conseil National de Lutte Contre le SIDA, Senegal</v>
          </cell>
        </row>
        <row r="893">
          <cell r="B893" t="str">
            <v>SNG-H-DLSI</v>
          </cell>
          <cell r="C893" t="str">
            <v>Active</v>
          </cell>
          <cell r="D893" t="str">
            <v>Western Africa</v>
          </cell>
          <cell r="E893" t="str">
            <v>SEN</v>
          </cell>
          <cell r="F893" t="str">
            <v>Social Hygien Institue AIDS Division, Ministry of Health, Prevention and Public Hygiene of Senegal</v>
          </cell>
        </row>
        <row r="894">
          <cell r="B894" t="str">
            <v>SNG-M-IH</v>
          </cell>
          <cell r="C894" t="str">
            <v>Active</v>
          </cell>
          <cell r="D894" t="str">
            <v>Western Africa</v>
          </cell>
          <cell r="E894" t="str">
            <v>SEN</v>
          </cell>
          <cell r="F894" t="str">
            <v>IntraHealth International</v>
          </cell>
        </row>
        <row r="895">
          <cell r="B895" t="str">
            <v>SNG-M-PNLP</v>
          </cell>
          <cell r="C895" t="str">
            <v>Active</v>
          </cell>
          <cell r="D895" t="str">
            <v>Western Africa</v>
          </cell>
          <cell r="E895" t="str">
            <v>SEN</v>
          </cell>
          <cell r="F895" t="str">
            <v>Ministry of Health and Medical Prevention of Senegal</v>
          </cell>
        </row>
        <row r="896">
          <cell r="B896" t="str">
            <v>SNG-T-PLAN</v>
          </cell>
          <cell r="C896" t="str">
            <v>Active</v>
          </cell>
          <cell r="D896" t="str">
            <v>Western Africa</v>
          </cell>
          <cell r="E896" t="str">
            <v>SEN</v>
          </cell>
          <cell r="F896" t="str">
            <v>Plan Senegal</v>
          </cell>
        </row>
        <row r="897">
          <cell r="B897" t="str">
            <v>SNG-T-PNT</v>
          </cell>
          <cell r="C897" t="str">
            <v>Active</v>
          </cell>
          <cell r="D897" t="str">
            <v>Western Africa</v>
          </cell>
          <cell r="E897" t="str">
            <v>SEN</v>
          </cell>
          <cell r="F897" t="str">
            <v>Ministry of Health and Social Action of Senegal</v>
          </cell>
        </row>
        <row r="898">
          <cell r="B898" t="str">
            <v>SER-102-G01-H-00</v>
          </cell>
          <cell r="C898" t="str">
            <v>Administratively Closed</v>
          </cell>
          <cell r="D898" t="str">
            <v>Eastern Europe and Central Asia</v>
          </cell>
          <cell r="E898" t="str">
            <v>SRB</v>
          </cell>
          <cell r="F898" t="str">
            <v>Economics Institute in Belgrade</v>
          </cell>
        </row>
        <row r="899">
          <cell r="B899" t="str">
            <v>SER-304-G02-T</v>
          </cell>
          <cell r="C899" t="str">
            <v>Administratively Closed</v>
          </cell>
          <cell r="D899" t="str">
            <v>Eastern Europe and Central Asia</v>
          </cell>
          <cell r="E899" t="str">
            <v>SRB</v>
          </cell>
          <cell r="F899" t="str">
            <v>Ministry of Health of Serbia</v>
          </cell>
        </row>
        <row r="900">
          <cell r="B900" t="str">
            <v>SER-607-G03-H</v>
          </cell>
          <cell r="C900" t="str">
            <v>Financial Closure</v>
          </cell>
          <cell r="D900" t="str">
            <v>Eastern Europe and Central Asia</v>
          </cell>
          <cell r="E900" t="str">
            <v>SRB</v>
          </cell>
          <cell r="F900" t="str">
            <v>Ministry of Health of Serbia</v>
          </cell>
        </row>
        <row r="901">
          <cell r="B901" t="str">
            <v>SER-809-G04-H</v>
          </cell>
          <cell r="C901" t="str">
            <v>Active</v>
          </cell>
          <cell r="D901" t="str">
            <v>Eastern Europe and Central Asia</v>
          </cell>
          <cell r="E901" t="str">
            <v>SRB</v>
          </cell>
          <cell r="F901" t="str">
            <v>Ministry of Health of Serbia</v>
          </cell>
        </row>
        <row r="902">
          <cell r="B902" t="str">
            <v>SER-809-G05-H</v>
          </cell>
          <cell r="C902" t="str">
            <v>Financial Closure</v>
          </cell>
          <cell r="D902" t="str">
            <v>Eastern Europe and Central Asia</v>
          </cell>
          <cell r="E902" t="str">
            <v>SRB</v>
          </cell>
          <cell r="F902" t="str">
            <v>Youth of JAZAS</v>
          </cell>
        </row>
        <row r="903">
          <cell r="B903" t="str">
            <v>SER-910-G06-T</v>
          </cell>
          <cell r="C903" t="str">
            <v>Active</v>
          </cell>
          <cell r="D903" t="str">
            <v>Eastern Europe and Central Asia</v>
          </cell>
          <cell r="E903" t="str">
            <v>SRB</v>
          </cell>
          <cell r="F903" t="str">
            <v>Ministry of Health of Serbia</v>
          </cell>
        </row>
        <row r="904">
          <cell r="B904" t="str">
            <v>SER-910-G07-T</v>
          </cell>
          <cell r="C904" t="str">
            <v>Active</v>
          </cell>
          <cell r="D904" t="str">
            <v>Eastern Europe and Central Asia</v>
          </cell>
          <cell r="E904" t="str">
            <v>SRB</v>
          </cell>
          <cell r="F904" t="str">
            <v>Red Cross of Serbia</v>
          </cell>
        </row>
        <row r="905">
          <cell r="B905" t="str">
            <v>SLE-202-G01-T-00</v>
          </cell>
          <cell r="C905" t="str">
            <v>Administratively Closed</v>
          </cell>
          <cell r="D905" t="str">
            <v>Central Africa</v>
          </cell>
          <cell r="E905" t="str">
            <v>SLE</v>
          </cell>
          <cell r="F905" t="str">
            <v>Sierra Leone Red Cross</v>
          </cell>
        </row>
        <row r="906">
          <cell r="B906" t="str">
            <v>SLE-405-G02-H</v>
          </cell>
          <cell r="C906" t="str">
            <v>Administratively Closed</v>
          </cell>
          <cell r="D906" t="str">
            <v>Central Africa</v>
          </cell>
          <cell r="E906" t="str">
            <v>SLE</v>
          </cell>
          <cell r="F906" t="str">
            <v>National HIV/AIDS Secretariat of Sierra Leone</v>
          </cell>
        </row>
        <row r="907">
          <cell r="B907" t="str">
            <v>SLE-405-G03-M</v>
          </cell>
          <cell r="C907" t="str">
            <v>Administratively Closed</v>
          </cell>
          <cell r="D907" t="str">
            <v>Central Africa</v>
          </cell>
          <cell r="E907" t="str">
            <v>SLE</v>
          </cell>
          <cell r="F907" t="str">
            <v>Sierra Leone Red Cross</v>
          </cell>
        </row>
        <row r="908">
          <cell r="B908" t="str">
            <v>SLE-607-G04-H</v>
          </cell>
          <cell r="C908" t="str">
            <v>Administratively Closed</v>
          </cell>
          <cell r="D908" t="str">
            <v>Central Africa</v>
          </cell>
          <cell r="E908" t="str">
            <v>SLE</v>
          </cell>
          <cell r="F908" t="str">
            <v>National HIV/AIDS Secretariat of Sierra Leone</v>
          </cell>
        </row>
        <row r="909">
          <cell r="B909" t="str">
            <v>SLE-708-G05-M</v>
          </cell>
          <cell r="C909" t="str">
            <v>Administratively Closed</v>
          </cell>
          <cell r="D909" t="str">
            <v>Central Africa</v>
          </cell>
          <cell r="E909" t="str">
            <v>SLE</v>
          </cell>
          <cell r="F909" t="str">
            <v>Ministry of Health and Sanitation, Sierra Leone</v>
          </cell>
        </row>
        <row r="910">
          <cell r="B910" t="str">
            <v>SLE-708-G06-T</v>
          </cell>
          <cell r="C910" t="str">
            <v>Active</v>
          </cell>
          <cell r="D910" t="str">
            <v>Central Africa</v>
          </cell>
          <cell r="E910" t="str">
            <v>SLE</v>
          </cell>
          <cell r="F910" t="str">
            <v>Ministry of Health and Sanitation, Sierra Leone</v>
          </cell>
        </row>
        <row r="911">
          <cell r="B911" t="str">
            <v>SLE-H-NAS</v>
          </cell>
          <cell r="C911" t="str">
            <v>Active</v>
          </cell>
          <cell r="D911" t="str">
            <v>Central Africa</v>
          </cell>
          <cell r="E911" t="str">
            <v>SLE</v>
          </cell>
          <cell r="F911" t="str">
            <v>National HIV/AIDS Secretariat of Sierra Leone</v>
          </cell>
        </row>
        <row r="912">
          <cell r="B912" t="str">
            <v>SLE-M-CRSSL</v>
          </cell>
          <cell r="C912" t="str">
            <v>Active</v>
          </cell>
          <cell r="D912" t="str">
            <v>Central Africa</v>
          </cell>
          <cell r="E912" t="str">
            <v>SLE</v>
          </cell>
          <cell r="F912" t="str">
            <v>Catholic Relief Services - Sierra Leone</v>
          </cell>
        </row>
        <row r="913">
          <cell r="B913" t="str">
            <v>SLE-M-MOHS</v>
          </cell>
          <cell r="C913" t="str">
            <v>Active</v>
          </cell>
          <cell r="D913" t="str">
            <v>Central Africa</v>
          </cell>
          <cell r="E913" t="str">
            <v>SLE</v>
          </cell>
          <cell r="F913" t="str">
            <v>Ministry of Health and Sanitation, Sierra Leone</v>
          </cell>
        </row>
        <row r="914">
          <cell r="B914" t="str">
            <v>SLB-810-G01-T</v>
          </cell>
          <cell r="C914" t="str">
            <v>Active</v>
          </cell>
          <cell r="D914" t="str">
            <v>South East Asia</v>
          </cell>
          <cell r="E914" t="str">
            <v>SLB</v>
          </cell>
          <cell r="F914" t="str">
            <v>Secretariat of the Pacific Community</v>
          </cell>
        </row>
        <row r="915">
          <cell r="B915" t="str">
            <v>SLB-M-MHMS</v>
          </cell>
          <cell r="C915" t="str">
            <v>N.D.</v>
          </cell>
          <cell r="D915" t="str">
            <v>South East Asia</v>
          </cell>
          <cell r="E915" t="str">
            <v>SLB</v>
          </cell>
          <cell r="F915" t="str">
            <v>Not Defined</v>
          </cell>
        </row>
        <row r="916">
          <cell r="B916" t="str">
            <v>SLB-T-MHMS</v>
          </cell>
          <cell r="C916" t="str">
            <v>N.D.</v>
          </cell>
          <cell r="D916" t="str">
            <v>South East Asia</v>
          </cell>
          <cell r="E916" t="str">
            <v>SLB</v>
          </cell>
          <cell r="F916" t="str">
            <v>Not Defined</v>
          </cell>
        </row>
        <row r="917">
          <cell r="B917" t="str">
            <v>SOM-012-G07-M</v>
          </cell>
          <cell r="C917" t="str">
            <v>Active</v>
          </cell>
          <cell r="D917" t="str">
            <v>Middle East and North Africa</v>
          </cell>
          <cell r="E917" t="str">
            <v>SOM</v>
          </cell>
          <cell r="F917" t="str">
            <v>United Nations Children's Fund, Somalia</v>
          </cell>
        </row>
        <row r="918">
          <cell r="B918" t="str">
            <v>SOM-202-G01-M-00</v>
          </cell>
          <cell r="C918" t="str">
            <v>Administratively Closed</v>
          </cell>
          <cell r="D918" t="str">
            <v>Middle East and North Africa</v>
          </cell>
          <cell r="E918" t="str">
            <v>SOM</v>
          </cell>
          <cell r="F918" t="str">
            <v>United Nations Children's Fund, Somalia</v>
          </cell>
        </row>
        <row r="919">
          <cell r="B919" t="str">
            <v>SOM-304-G02-T</v>
          </cell>
          <cell r="C919" t="str">
            <v>Administratively Closed</v>
          </cell>
          <cell r="D919" t="str">
            <v>Middle East and North Africa</v>
          </cell>
          <cell r="E919" t="str">
            <v>SOM</v>
          </cell>
          <cell r="F919" t="str">
            <v>World Vision Somalia</v>
          </cell>
        </row>
        <row r="920">
          <cell r="B920" t="str">
            <v>SOM-405-G03-H</v>
          </cell>
          <cell r="C920" t="str">
            <v>Administratively Closed</v>
          </cell>
          <cell r="D920" t="str">
            <v>Middle East and North Africa</v>
          </cell>
          <cell r="E920" t="str">
            <v>SOM</v>
          </cell>
          <cell r="F920" t="str">
            <v>United Nations Children's Fund, Somalia</v>
          </cell>
        </row>
        <row r="921">
          <cell r="B921" t="str">
            <v>SOM-607-G04-M</v>
          </cell>
          <cell r="C921" t="str">
            <v>Financial Closure</v>
          </cell>
          <cell r="D921" t="str">
            <v>Middle East and North Africa</v>
          </cell>
          <cell r="E921" t="str">
            <v>SOM</v>
          </cell>
          <cell r="F921" t="str">
            <v>United Nations Children's Fund, Somalia</v>
          </cell>
        </row>
        <row r="922">
          <cell r="B922" t="str">
            <v>SOM-708-G05-T</v>
          </cell>
          <cell r="C922" t="str">
            <v>Administratively Closed</v>
          </cell>
          <cell r="D922" t="str">
            <v>Middle East and North Africa</v>
          </cell>
          <cell r="E922" t="str">
            <v>SOM</v>
          </cell>
          <cell r="F922" t="str">
            <v>World Vision Somalia</v>
          </cell>
        </row>
        <row r="923">
          <cell r="B923" t="str">
            <v>SOM-809-G06-H</v>
          </cell>
          <cell r="C923" t="str">
            <v>Active</v>
          </cell>
          <cell r="D923" t="str">
            <v>Middle East and North Africa</v>
          </cell>
          <cell r="E923" t="str">
            <v>SOM</v>
          </cell>
          <cell r="F923" t="str">
            <v>United Nations Children's Fund, Somalia</v>
          </cell>
        </row>
        <row r="924">
          <cell r="B924" t="str">
            <v>SOM-H-UNICEF</v>
          </cell>
          <cell r="C924" t="str">
            <v>N.D.</v>
          </cell>
          <cell r="D924" t="str">
            <v>Middle East and North Africa</v>
          </cell>
          <cell r="E924" t="str">
            <v>SOM</v>
          </cell>
          <cell r="F924" t="str">
            <v>Not Defined</v>
          </cell>
        </row>
        <row r="925">
          <cell r="B925" t="str">
            <v>SOM-M-UNICEF</v>
          </cell>
          <cell r="C925" t="str">
            <v>N.D.</v>
          </cell>
          <cell r="D925" t="str">
            <v>Middle East and North Africa</v>
          </cell>
          <cell r="E925" t="str">
            <v>SOM</v>
          </cell>
          <cell r="F925" t="str">
            <v>Not Defined</v>
          </cell>
        </row>
        <row r="926">
          <cell r="B926" t="str">
            <v>SOM-T-WV</v>
          </cell>
          <cell r="C926" t="str">
            <v>Active</v>
          </cell>
          <cell r="D926" t="str">
            <v>Middle East and North Africa</v>
          </cell>
          <cell r="E926" t="str">
            <v>SOM</v>
          </cell>
          <cell r="F926" t="str">
            <v>World Vision Somalia</v>
          </cell>
        </row>
        <row r="927">
          <cell r="B927" t="str">
            <v>SAF-102-G01-C-00</v>
          </cell>
          <cell r="C927" t="str">
            <v>Financial Closure</v>
          </cell>
          <cell r="D927" t="str">
            <v>High Impact Africa 1</v>
          </cell>
          <cell r="E927" t="str">
            <v>ZAF</v>
          </cell>
          <cell r="F927" t="str">
            <v>National Treasury of the Republic of South Africa</v>
          </cell>
        </row>
        <row r="928">
          <cell r="B928" t="str">
            <v>SAF-102-G02-C-00</v>
          </cell>
          <cell r="C928" t="str">
            <v>Financial Closure</v>
          </cell>
          <cell r="D928" t="str">
            <v>High Impact Africa 1</v>
          </cell>
          <cell r="E928" t="str">
            <v>ZAF</v>
          </cell>
          <cell r="F928" t="str">
            <v>National Treasury of the Republic of South Africa</v>
          </cell>
        </row>
        <row r="929">
          <cell r="B929" t="str">
            <v>SAF-102-G03-C-00</v>
          </cell>
          <cell r="C929" t="str">
            <v>Administratively Closed</v>
          </cell>
          <cell r="D929" t="str">
            <v>High Impact Africa 1</v>
          </cell>
          <cell r="E929" t="str">
            <v>ZAF</v>
          </cell>
          <cell r="F929" t="str">
            <v>National Treasury of the Republic of South Africa</v>
          </cell>
        </row>
        <row r="930">
          <cell r="B930" t="str">
            <v>SAF-202-G05-C-00</v>
          </cell>
          <cell r="C930" t="str">
            <v>Financial Closure</v>
          </cell>
          <cell r="D930" t="str">
            <v>High Impact Africa 1</v>
          </cell>
          <cell r="E930" t="str">
            <v>ZAF</v>
          </cell>
          <cell r="F930" t="str">
            <v>Department of Health of South Africa</v>
          </cell>
        </row>
        <row r="931">
          <cell r="B931" t="str">
            <v>SAF-304-G04-H</v>
          </cell>
          <cell r="C931" t="str">
            <v>Active</v>
          </cell>
          <cell r="D931" t="str">
            <v>High Impact Africa 1</v>
          </cell>
          <cell r="E931" t="str">
            <v>ZAF</v>
          </cell>
          <cell r="F931" t="str">
            <v>Western Cape Provincial Department of Health</v>
          </cell>
        </row>
        <row r="932">
          <cell r="B932" t="str">
            <v>SAF-607-G06-H</v>
          </cell>
          <cell r="C932" t="str">
            <v>Administratively Closed</v>
          </cell>
          <cell r="D932" t="str">
            <v>High Impact Africa 1</v>
          </cell>
          <cell r="E932" t="str">
            <v>ZAF</v>
          </cell>
          <cell r="F932" t="str">
            <v>Department of Health of South Africa</v>
          </cell>
        </row>
        <row r="933">
          <cell r="B933" t="str">
            <v>SAF-910-G07-H</v>
          </cell>
          <cell r="C933" t="str">
            <v>Administratively Closed</v>
          </cell>
          <cell r="D933" t="str">
            <v>High Impact Africa 1</v>
          </cell>
          <cell r="E933" t="str">
            <v>ZAF</v>
          </cell>
          <cell r="F933" t="str">
            <v>Department of Health of South Africa</v>
          </cell>
        </row>
        <row r="934">
          <cell r="B934" t="str">
            <v>SAF-910-G08-H</v>
          </cell>
          <cell r="C934" t="str">
            <v>Administratively Closed</v>
          </cell>
          <cell r="D934" t="str">
            <v>High Impact Africa 1</v>
          </cell>
          <cell r="E934" t="str">
            <v>ZAF</v>
          </cell>
          <cell r="F934" t="str">
            <v>Networking AIDS Community of South Africa</v>
          </cell>
        </row>
        <row r="935">
          <cell r="B935" t="str">
            <v>SAF-910-G09-H</v>
          </cell>
          <cell r="C935" t="str">
            <v>Administratively Closed</v>
          </cell>
          <cell r="D935" t="str">
            <v>High Impact Africa 1</v>
          </cell>
          <cell r="E935" t="str">
            <v>ZAF</v>
          </cell>
          <cell r="F935" t="str">
            <v>National Religious Association for Social Development</v>
          </cell>
        </row>
        <row r="936">
          <cell r="B936" t="str">
            <v>SAF-H-NACOSA</v>
          </cell>
          <cell r="C936" t="str">
            <v>Active</v>
          </cell>
          <cell r="D936" t="str">
            <v>High Impact Africa 1</v>
          </cell>
          <cell r="E936" t="str">
            <v>ZAF</v>
          </cell>
          <cell r="F936" t="str">
            <v>Networking AIDS Community of South Africa</v>
          </cell>
        </row>
        <row r="937">
          <cell r="B937" t="str">
            <v>SAF-H-NDOH</v>
          </cell>
          <cell r="C937" t="str">
            <v>Active</v>
          </cell>
          <cell r="D937" t="str">
            <v>High Impact Africa 1</v>
          </cell>
          <cell r="E937" t="str">
            <v>ZAF</v>
          </cell>
          <cell r="F937" t="str">
            <v>Department of Health of South Africa</v>
          </cell>
        </row>
        <row r="938">
          <cell r="B938" t="str">
            <v>SAF-H-NRASD</v>
          </cell>
          <cell r="C938" t="str">
            <v>Active</v>
          </cell>
          <cell r="D938" t="str">
            <v>High Impact Africa 1</v>
          </cell>
          <cell r="E938" t="str">
            <v>ZAF</v>
          </cell>
          <cell r="F938" t="str">
            <v>National Religious Association for Social Development</v>
          </cell>
        </row>
        <row r="939">
          <cell r="B939" t="str">
            <v>SAF-H-RTC</v>
          </cell>
          <cell r="C939" t="str">
            <v>Active</v>
          </cell>
          <cell r="D939" t="str">
            <v>High Impact Africa 1</v>
          </cell>
          <cell r="E939" t="str">
            <v>ZAF</v>
          </cell>
          <cell r="F939" t="str">
            <v>Right to care</v>
          </cell>
        </row>
        <row r="940">
          <cell r="B940" t="str">
            <v>SAF-H-SCI</v>
          </cell>
          <cell r="C940" t="str">
            <v>Active</v>
          </cell>
          <cell r="D940" t="str">
            <v>High Impact Africa 1</v>
          </cell>
          <cell r="E940" t="str">
            <v>ZAF</v>
          </cell>
          <cell r="F940" t="str">
            <v>Soul City Institute for Health &amp; Development Communication</v>
          </cell>
        </row>
        <row r="941">
          <cell r="B941" t="str">
            <v>SSD-202-G01-M-00</v>
          </cell>
          <cell r="C941" t="str">
            <v>Administratively Closed</v>
          </cell>
          <cell r="D941" t="str">
            <v>Middle East and North Africa</v>
          </cell>
          <cell r="E941" t="str">
            <v>SSD</v>
          </cell>
          <cell r="F941" t="str">
            <v>United Nations Development Programme in South Sudan</v>
          </cell>
        </row>
        <row r="942">
          <cell r="B942" t="str">
            <v>SSD-202-G02-T-00</v>
          </cell>
          <cell r="C942" t="str">
            <v>Financially Closed</v>
          </cell>
          <cell r="D942" t="str">
            <v>Middle East and North Africa</v>
          </cell>
          <cell r="E942" t="str">
            <v>SSD</v>
          </cell>
          <cell r="F942" t="str">
            <v>United Nations Development Programme in South Sudan</v>
          </cell>
        </row>
        <row r="943">
          <cell r="B943" t="str">
            <v>SSD-405-G05-H</v>
          </cell>
          <cell r="C943" t="str">
            <v>Active</v>
          </cell>
          <cell r="D943" t="str">
            <v>Middle East and North Africa</v>
          </cell>
          <cell r="E943" t="str">
            <v>SSD</v>
          </cell>
          <cell r="F943" t="str">
            <v>United Nations Development Programme in South Sudan</v>
          </cell>
        </row>
        <row r="944">
          <cell r="B944" t="str">
            <v>SSD-506-G06-T</v>
          </cell>
          <cell r="C944" t="str">
            <v>Financial Closure</v>
          </cell>
          <cell r="D944" t="str">
            <v>Middle East and North Africa</v>
          </cell>
          <cell r="E944" t="str">
            <v>SSD</v>
          </cell>
          <cell r="F944" t="str">
            <v>United Nations Development Programme in South Sudan</v>
          </cell>
        </row>
        <row r="945">
          <cell r="B945" t="str">
            <v>SSD-708-G09-M</v>
          </cell>
          <cell r="C945" t="str">
            <v>Administratively Closed</v>
          </cell>
          <cell r="D945" t="str">
            <v>Middle East and North Africa</v>
          </cell>
          <cell r="E945" t="str">
            <v>SSD</v>
          </cell>
          <cell r="F945" t="str">
            <v>Population Services International, USA</v>
          </cell>
        </row>
        <row r="946">
          <cell r="B946" t="str">
            <v>SSD-708-G11-T</v>
          </cell>
          <cell r="C946" t="str">
            <v>Active</v>
          </cell>
          <cell r="D946" t="str">
            <v>Middle East and North Africa</v>
          </cell>
          <cell r="E946" t="str">
            <v>SSD</v>
          </cell>
          <cell r="F946" t="str">
            <v>United Nations Development Programme in South Sudan</v>
          </cell>
        </row>
        <row r="947">
          <cell r="B947" t="str">
            <v>SSD-910-G13-S</v>
          </cell>
          <cell r="C947" t="str">
            <v>Active</v>
          </cell>
          <cell r="D947" t="str">
            <v>Middle East and North Africa</v>
          </cell>
          <cell r="E947" t="str">
            <v>SSD</v>
          </cell>
          <cell r="F947" t="str">
            <v>United Nations Development Programme in South Sudan</v>
          </cell>
        </row>
        <row r="948">
          <cell r="B948" t="str">
            <v>SSD-M-PSI</v>
          </cell>
          <cell r="C948" t="str">
            <v>Active</v>
          </cell>
          <cell r="D948" t="str">
            <v>Middle East and North Africa</v>
          </cell>
          <cell r="E948" t="str">
            <v>SSD</v>
          </cell>
          <cell r="F948" t="str">
            <v>Population Services International, USA</v>
          </cell>
        </row>
        <row r="949">
          <cell r="B949" t="str">
            <v>SRL-102-G01-M-00</v>
          </cell>
          <cell r="C949" t="str">
            <v>Administratively Closed</v>
          </cell>
          <cell r="D949" t="str">
            <v>South East Asia</v>
          </cell>
          <cell r="E949" t="str">
            <v>LKA</v>
          </cell>
          <cell r="F949" t="str">
            <v>Ministry of Health of the Government of Sri Lanka</v>
          </cell>
        </row>
        <row r="950">
          <cell r="B950" t="str">
            <v>SRL-102-G02-M-00</v>
          </cell>
          <cell r="C950" t="str">
            <v>Financial Closure</v>
          </cell>
          <cell r="D950" t="str">
            <v>South East Asia</v>
          </cell>
          <cell r="E950" t="str">
            <v>LKA</v>
          </cell>
          <cell r="F950" t="str">
            <v>Lanka Jatika Sarvodaya Shramadana Sangamaya</v>
          </cell>
        </row>
        <row r="951">
          <cell r="B951" t="str">
            <v>SRL-102-G03-T-00</v>
          </cell>
          <cell r="C951" t="str">
            <v>Administratively Closed</v>
          </cell>
          <cell r="D951" t="str">
            <v>South East Asia</v>
          </cell>
          <cell r="E951" t="str">
            <v>LKA</v>
          </cell>
          <cell r="F951" t="str">
            <v>Ministry of Health of the Government of Sri Lanka</v>
          </cell>
        </row>
        <row r="952">
          <cell r="B952" t="str">
            <v>SRL-102-G04-T-00</v>
          </cell>
          <cell r="C952" t="str">
            <v>Financial Closure</v>
          </cell>
          <cell r="D952" t="str">
            <v>South East Asia</v>
          </cell>
          <cell r="E952" t="str">
            <v>LKA</v>
          </cell>
          <cell r="F952" t="str">
            <v>Lanka Jatika Sarvodaya Shramadana Sangamaya</v>
          </cell>
        </row>
        <row r="953">
          <cell r="B953" t="str">
            <v>SRL-405-G05-M</v>
          </cell>
          <cell r="C953" t="str">
            <v>Financially Closed</v>
          </cell>
          <cell r="D953" t="str">
            <v>South East Asia</v>
          </cell>
          <cell r="E953" t="str">
            <v>LKA</v>
          </cell>
          <cell r="F953" t="str">
            <v>Ministry of Health of the Government of Sri Lanka</v>
          </cell>
        </row>
        <row r="954">
          <cell r="B954" t="str">
            <v>SRL-405-G06-M</v>
          </cell>
          <cell r="C954" t="str">
            <v>Financial Closure</v>
          </cell>
          <cell r="D954" t="str">
            <v>South East Asia</v>
          </cell>
          <cell r="E954" t="str">
            <v>LKA</v>
          </cell>
          <cell r="F954" t="str">
            <v>Lanka Jatika Sarvodaya Shramadana Sangamaya</v>
          </cell>
        </row>
        <row r="955">
          <cell r="B955" t="str">
            <v>SRL-607-G07-T</v>
          </cell>
          <cell r="C955" t="str">
            <v>Active</v>
          </cell>
          <cell r="D955" t="str">
            <v>South East Asia</v>
          </cell>
          <cell r="E955" t="str">
            <v>LKA</v>
          </cell>
          <cell r="F955" t="str">
            <v>Ministry of Health of the Government of Sri Lanka</v>
          </cell>
        </row>
        <row r="956">
          <cell r="B956" t="str">
            <v>SRL-607-G08-T</v>
          </cell>
          <cell r="C956" t="str">
            <v>Financial Closure</v>
          </cell>
          <cell r="D956" t="str">
            <v>South East Asia</v>
          </cell>
          <cell r="E956" t="str">
            <v>LKA</v>
          </cell>
          <cell r="F956" t="str">
            <v>Lanka Jatika Sarvodaya Shramadana Sangamaya</v>
          </cell>
        </row>
        <row r="957">
          <cell r="B957" t="str">
            <v>SRL-607-G09-H</v>
          </cell>
          <cell r="C957" t="str">
            <v>Administratively Closed</v>
          </cell>
          <cell r="D957" t="str">
            <v>South East Asia</v>
          </cell>
          <cell r="E957" t="str">
            <v>LKA</v>
          </cell>
          <cell r="F957" t="str">
            <v>Ministry of Health of the Government of Sri Lanka</v>
          </cell>
        </row>
        <row r="958">
          <cell r="B958" t="str">
            <v>SRL-809-G10-M</v>
          </cell>
          <cell r="C958" t="str">
            <v>Active</v>
          </cell>
          <cell r="D958" t="str">
            <v>South East Asia</v>
          </cell>
          <cell r="E958" t="str">
            <v>LKA</v>
          </cell>
          <cell r="F958" t="str">
            <v>Ministry of Health of the Government of Sri Lanka</v>
          </cell>
        </row>
        <row r="959">
          <cell r="B959" t="str">
            <v>SRL-809-G11-M</v>
          </cell>
          <cell r="C959" t="str">
            <v>Financial Closure</v>
          </cell>
          <cell r="D959" t="str">
            <v>South East Asia</v>
          </cell>
          <cell r="E959" t="str">
            <v>LKA</v>
          </cell>
          <cell r="F959" t="str">
            <v>Tropical and Environmental Diseases and Health Associates</v>
          </cell>
        </row>
        <row r="960">
          <cell r="B960" t="str">
            <v>SRL-809-G12-M</v>
          </cell>
          <cell r="C960" t="str">
            <v>Active</v>
          </cell>
          <cell r="D960" t="str">
            <v>South East Asia</v>
          </cell>
          <cell r="E960" t="str">
            <v>LKA</v>
          </cell>
          <cell r="F960" t="str">
            <v>Lanka Jatika Sarvodaya Shramadana Sangamaya</v>
          </cell>
        </row>
        <row r="961">
          <cell r="B961" t="str">
            <v>SRL-911-G14-H</v>
          </cell>
          <cell r="C961" t="str">
            <v>Financial Closure</v>
          </cell>
          <cell r="D961" t="str">
            <v>South East Asia</v>
          </cell>
          <cell r="E961" t="str">
            <v>LKA</v>
          </cell>
          <cell r="F961" t="str">
            <v>Lanka Jatika Sarvodaya Shramadana Sangamaya</v>
          </cell>
        </row>
        <row r="962">
          <cell r="B962" t="str">
            <v>SRL-911-G15-S</v>
          </cell>
          <cell r="C962" t="str">
            <v>Active</v>
          </cell>
          <cell r="D962" t="str">
            <v>South East Asia</v>
          </cell>
          <cell r="E962" t="str">
            <v>LKA</v>
          </cell>
          <cell r="F962" t="str">
            <v>Ministry of Health of the Government of Sri Lanka</v>
          </cell>
        </row>
        <row r="963">
          <cell r="B963" t="str">
            <v>SRL-913-G16-H</v>
          </cell>
          <cell r="C963" t="str">
            <v>Active</v>
          </cell>
          <cell r="D963" t="str">
            <v>South East Asia</v>
          </cell>
          <cell r="E963" t="str">
            <v>LKA</v>
          </cell>
          <cell r="F963" t="str">
            <v>The Family Planning Association of Sri Lanka</v>
          </cell>
        </row>
        <row r="964">
          <cell r="B964" t="str">
            <v>SRL-S11-G13-H</v>
          </cell>
          <cell r="C964" t="str">
            <v>Active</v>
          </cell>
          <cell r="D964" t="str">
            <v>South East Asia</v>
          </cell>
          <cell r="E964" t="str">
            <v>LKA</v>
          </cell>
          <cell r="F964" t="str">
            <v>Ministry of Health of the Government of Sri Lanka</v>
          </cell>
        </row>
        <row r="965">
          <cell r="B965" t="str">
            <v>SDN-H-UNDP</v>
          </cell>
          <cell r="C965" t="str">
            <v>N.D.</v>
          </cell>
          <cell r="D965" t="str">
            <v>High Impact Africa 1</v>
          </cell>
          <cell r="E965" t="str">
            <v>SDN</v>
          </cell>
          <cell r="F965" t="str">
            <v>Not Defined</v>
          </cell>
        </row>
        <row r="966">
          <cell r="B966" t="str">
            <v>SDN-M-UNDP</v>
          </cell>
          <cell r="C966" t="str">
            <v>N.D.</v>
          </cell>
          <cell r="D966" t="str">
            <v>High Impact Africa 1</v>
          </cell>
          <cell r="E966" t="str">
            <v>SDN</v>
          </cell>
          <cell r="F966" t="str">
            <v>Not Defined</v>
          </cell>
        </row>
        <row r="967">
          <cell r="B967" t="str">
            <v>SDN-T-UNDP</v>
          </cell>
          <cell r="C967" t="str">
            <v>N.D.</v>
          </cell>
          <cell r="D967" t="str">
            <v>High Impact Africa 1</v>
          </cell>
          <cell r="E967" t="str">
            <v>SDN</v>
          </cell>
          <cell r="F967" t="str">
            <v>Not Defined</v>
          </cell>
        </row>
        <row r="968">
          <cell r="B968" t="str">
            <v>SUD-011-G15-H</v>
          </cell>
          <cell r="C968" t="str">
            <v>Active</v>
          </cell>
          <cell r="D968" t="str">
            <v>High Impact Africa 1</v>
          </cell>
          <cell r="E968" t="str">
            <v>SDN</v>
          </cell>
          <cell r="F968" t="str">
            <v>United Nations Development Programme, Sudan</v>
          </cell>
        </row>
        <row r="969">
          <cell r="B969" t="str">
            <v>SUD-011-G16-M</v>
          </cell>
          <cell r="C969" t="str">
            <v>Active</v>
          </cell>
          <cell r="D969" t="str">
            <v>High Impact Africa 1</v>
          </cell>
          <cell r="E969" t="str">
            <v>SDN</v>
          </cell>
          <cell r="F969" t="str">
            <v>United Nations Development Programme, Sudan</v>
          </cell>
        </row>
        <row r="970">
          <cell r="B970" t="str">
            <v>SUD-202-G03-M-00</v>
          </cell>
          <cell r="C970" t="str">
            <v>Financial Closure</v>
          </cell>
          <cell r="D970" t="str">
            <v>High Impact Africa 1</v>
          </cell>
          <cell r="E970" t="str">
            <v>SDN</v>
          </cell>
          <cell r="F970" t="str">
            <v>United Nations Development Programme, Sudan</v>
          </cell>
        </row>
        <row r="971">
          <cell r="B971" t="str">
            <v>SUD-305-G04-H</v>
          </cell>
          <cell r="C971" t="str">
            <v>Financial Closure</v>
          </cell>
          <cell r="D971" t="str">
            <v>High Impact Africa 1</v>
          </cell>
          <cell r="E971" t="str">
            <v>SDN</v>
          </cell>
          <cell r="F971" t="str">
            <v>United Nations Development Programme, Sudan</v>
          </cell>
        </row>
        <row r="972">
          <cell r="B972" t="str">
            <v>SUD-506-G07-T</v>
          </cell>
          <cell r="C972" t="str">
            <v>Administratively Closed</v>
          </cell>
          <cell r="D972" t="str">
            <v>High Impact Africa 1</v>
          </cell>
          <cell r="E972" t="str">
            <v>SDN</v>
          </cell>
          <cell r="F972" t="str">
            <v>United Nations Development Programme, Sudan</v>
          </cell>
        </row>
        <row r="973">
          <cell r="B973" t="str">
            <v>SUD-506-G08-H</v>
          </cell>
          <cell r="C973" t="str">
            <v>Financial Closure</v>
          </cell>
          <cell r="D973" t="str">
            <v>High Impact Africa 1</v>
          </cell>
          <cell r="E973" t="str">
            <v>SDN</v>
          </cell>
          <cell r="F973" t="str">
            <v>United Nations Development Programme, Sudan</v>
          </cell>
        </row>
        <row r="974">
          <cell r="B974" t="str">
            <v>SUD-708-G10-M</v>
          </cell>
          <cell r="C974" t="str">
            <v>Active</v>
          </cell>
          <cell r="D974" t="str">
            <v>High Impact Africa 1</v>
          </cell>
          <cell r="E974" t="str">
            <v>SDN</v>
          </cell>
          <cell r="F974" t="str">
            <v>United Nations Development Programme, Sudan</v>
          </cell>
        </row>
        <row r="975">
          <cell r="B975" t="str">
            <v>SUD-809-G12-T</v>
          </cell>
          <cell r="C975" t="str">
            <v>Administratively Closed</v>
          </cell>
          <cell r="D975" t="str">
            <v>High Impact Africa 1</v>
          </cell>
          <cell r="E975" t="str">
            <v>SDN</v>
          </cell>
          <cell r="F975" t="str">
            <v>United Nations Development Programme, Sudan</v>
          </cell>
        </row>
        <row r="976">
          <cell r="B976" t="str">
            <v>SUD-T-UNDP</v>
          </cell>
          <cell r="C976" t="str">
            <v>Active</v>
          </cell>
          <cell r="D976" t="str">
            <v>High Impact Africa 1</v>
          </cell>
          <cell r="E976" t="str">
            <v>SDN</v>
          </cell>
          <cell r="F976" t="str">
            <v>United Nations Development Programme, Sudan</v>
          </cell>
        </row>
        <row r="977">
          <cell r="B977" t="str">
            <v>SUR-305-G01-H</v>
          </cell>
          <cell r="C977" t="str">
            <v>Administratively Closed</v>
          </cell>
          <cell r="D977" t="str">
            <v>Latin America and Caribbean</v>
          </cell>
          <cell r="E977" t="str">
            <v>SUR</v>
          </cell>
          <cell r="F977" t="str">
            <v>Ministry of Health of Suriname</v>
          </cell>
        </row>
        <row r="978">
          <cell r="B978" t="str">
            <v>SUR-404-G02-M</v>
          </cell>
          <cell r="C978" t="str">
            <v>Administratively Closed</v>
          </cell>
          <cell r="D978" t="str">
            <v>Latin America and Caribbean</v>
          </cell>
          <cell r="E978" t="str">
            <v>SUR</v>
          </cell>
          <cell r="F978" t="str">
            <v>Medische Zending - Primary Health Care Suriname</v>
          </cell>
        </row>
        <row r="979">
          <cell r="B979" t="str">
            <v>SUR-506-G03-H</v>
          </cell>
          <cell r="C979" t="str">
            <v>Financial Closure</v>
          </cell>
          <cell r="D979" t="str">
            <v>Latin America and Caribbean</v>
          </cell>
          <cell r="E979" t="str">
            <v>SUR</v>
          </cell>
          <cell r="F979" t="str">
            <v>Ministry of Health of Suriname</v>
          </cell>
        </row>
        <row r="980">
          <cell r="B980" t="str">
            <v>SUR-708-G04-M</v>
          </cell>
          <cell r="C980" t="str">
            <v>Active</v>
          </cell>
          <cell r="D980" t="str">
            <v>Latin America and Caribbean</v>
          </cell>
          <cell r="E980" t="str">
            <v>SUR</v>
          </cell>
          <cell r="F980" t="str">
            <v>Ministry of Health of Suriname</v>
          </cell>
        </row>
        <row r="981">
          <cell r="B981" t="str">
            <v>SUR-910-G05-T</v>
          </cell>
          <cell r="C981" t="str">
            <v>Active</v>
          </cell>
          <cell r="D981" t="str">
            <v>Latin America and Caribbean</v>
          </cell>
          <cell r="E981" t="str">
            <v>SUR</v>
          </cell>
          <cell r="F981" t="str">
            <v>Ministry of Health of Suriname</v>
          </cell>
        </row>
        <row r="982">
          <cell r="B982" t="str">
            <v>SUR-M-MoH</v>
          </cell>
          <cell r="C982" t="str">
            <v>N.D.</v>
          </cell>
          <cell r="D982" t="str">
            <v>Latin America and Caribbean</v>
          </cell>
          <cell r="E982" t="str">
            <v>SUR</v>
          </cell>
          <cell r="F982" t="str">
            <v>Not Defined</v>
          </cell>
        </row>
        <row r="983">
          <cell r="B983" t="str">
            <v>SWZ-202-G01-H-00</v>
          </cell>
          <cell r="C983" t="str">
            <v>Administratively Closed</v>
          </cell>
          <cell r="D983" t="str">
            <v>Southern and Eastern Africa</v>
          </cell>
          <cell r="E983" t="str">
            <v>SWZ</v>
          </cell>
          <cell r="F983" t="str">
            <v>National Emergency Response Council on HIV/AIDS</v>
          </cell>
        </row>
        <row r="984">
          <cell r="B984" t="str">
            <v>SWZ-202-G02-M-00</v>
          </cell>
          <cell r="C984" t="str">
            <v>Administratively Closed</v>
          </cell>
          <cell r="D984" t="str">
            <v>Southern and Eastern Africa</v>
          </cell>
          <cell r="E984" t="str">
            <v>SWZ</v>
          </cell>
          <cell r="F984" t="str">
            <v>National Emergency Response Council on HIV/AIDS</v>
          </cell>
        </row>
        <row r="985">
          <cell r="B985" t="str">
            <v>SWZ-304-G03-T</v>
          </cell>
          <cell r="C985" t="str">
            <v>Administratively Closed</v>
          </cell>
          <cell r="D985" t="str">
            <v>Southern and Eastern Africa</v>
          </cell>
          <cell r="E985" t="str">
            <v>SWZ</v>
          </cell>
          <cell r="F985" t="str">
            <v>National Emergency Response Council on HIV/AIDS</v>
          </cell>
        </row>
        <row r="986">
          <cell r="B986" t="str">
            <v>SWZ-405-G04-H</v>
          </cell>
          <cell r="C986" t="str">
            <v>Administratively Closed</v>
          </cell>
          <cell r="D986" t="str">
            <v>Southern and Eastern Africa</v>
          </cell>
          <cell r="E986" t="str">
            <v>SWZ</v>
          </cell>
          <cell r="F986" t="str">
            <v>National Emergency Response Council on HIV/AIDS</v>
          </cell>
        </row>
        <row r="987">
          <cell r="B987" t="str">
            <v>SWZ-708-G05-H</v>
          </cell>
          <cell r="C987" t="str">
            <v>Active</v>
          </cell>
          <cell r="D987" t="str">
            <v>Southern and Eastern Africa</v>
          </cell>
          <cell r="E987" t="str">
            <v>SWZ</v>
          </cell>
          <cell r="F987" t="str">
            <v>National Emergency Response Council on HIV/AIDS</v>
          </cell>
        </row>
        <row r="988">
          <cell r="B988" t="str">
            <v>SWZ-809-G06-M</v>
          </cell>
          <cell r="C988" t="str">
            <v>Active</v>
          </cell>
          <cell r="D988" t="str">
            <v>Southern and Eastern Africa</v>
          </cell>
          <cell r="E988" t="str">
            <v>SWZ</v>
          </cell>
          <cell r="F988" t="str">
            <v>National Emergency Response Council on HIV/AIDS</v>
          </cell>
        </row>
        <row r="989">
          <cell r="B989" t="str">
            <v>SWZ-809-G07-T</v>
          </cell>
          <cell r="C989" t="str">
            <v>Administratively Closed</v>
          </cell>
          <cell r="D989" t="str">
            <v>Southern and Eastern Africa</v>
          </cell>
          <cell r="E989" t="str">
            <v>SWZ</v>
          </cell>
          <cell r="F989" t="str">
            <v>National Emergency Response Council on HIV/AIDS</v>
          </cell>
        </row>
        <row r="990">
          <cell r="B990" t="str">
            <v>SWZ-809-G08-S</v>
          </cell>
          <cell r="C990" t="str">
            <v>Active</v>
          </cell>
          <cell r="D990" t="str">
            <v>Southern and Eastern Africa</v>
          </cell>
          <cell r="E990" t="str">
            <v>SWZ</v>
          </cell>
          <cell r="F990" t="str">
            <v>National Emergency Response Council on HIV/AIDS</v>
          </cell>
        </row>
        <row r="991">
          <cell r="B991" t="str">
            <v>SWZ-M-NERCHA</v>
          </cell>
          <cell r="C991" t="str">
            <v>Active</v>
          </cell>
          <cell r="D991" t="str">
            <v>Southern and Eastern Africa</v>
          </cell>
          <cell r="E991" t="str">
            <v>SWZ</v>
          </cell>
          <cell r="F991" t="str">
            <v>National Emergency Response Council on HIV/AIDS</v>
          </cell>
        </row>
        <row r="992">
          <cell r="B992" t="str">
            <v>SWZ-T-NERCHA</v>
          </cell>
          <cell r="C992" t="str">
            <v>Active</v>
          </cell>
          <cell r="D992" t="str">
            <v>Southern and Eastern Africa</v>
          </cell>
          <cell r="E992" t="str">
            <v>SWZ</v>
          </cell>
          <cell r="F992" t="str">
            <v>National Emergency Response Council on HIV/AIDS</v>
          </cell>
        </row>
        <row r="993">
          <cell r="B993" t="str">
            <v>SYR-011-G02-H</v>
          </cell>
          <cell r="C993" t="str">
            <v>Active</v>
          </cell>
          <cell r="D993" t="str">
            <v>Middle East and North Africa</v>
          </cell>
          <cell r="E993" t="str">
            <v>SYR</v>
          </cell>
          <cell r="F993" t="str">
            <v>United Nations Development Programme, Syria</v>
          </cell>
        </row>
        <row r="994">
          <cell r="B994" t="str">
            <v>SYR-607-G01-T</v>
          </cell>
          <cell r="C994" t="str">
            <v>Active</v>
          </cell>
          <cell r="D994" t="str">
            <v>Middle East and North Africa</v>
          </cell>
          <cell r="E994" t="str">
            <v>SYR</v>
          </cell>
          <cell r="F994" t="str">
            <v>United Nations Development Programme, Syria</v>
          </cell>
        </row>
        <row r="995">
          <cell r="B995" t="str">
            <v>TAJ-102-G01-H-00</v>
          </cell>
          <cell r="C995" t="str">
            <v>Administratively Closed</v>
          </cell>
          <cell r="D995" t="str">
            <v>Eastern Europe and Central Asia</v>
          </cell>
          <cell r="E995" t="str">
            <v>TJK</v>
          </cell>
          <cell r="F995" t="str">
            <v>United Nations Development Programme, Tajikistan</v>
          </cell>
        </row>
        <row r="996">
          <cell r="B996" t="str">
            <v>TAJ-304-G02-T</v>
          </cell>
          <cell r="C996" t="str">
            <v>Active</v>
          </cell>
          <cell r="D996" t="str">
            <v>Eastern Europe and Central Asia</v>
          </cell>
          <cell r="E996" t="str">
            <v>TJK</v>
          </cell>
          <cell r="F996" t="str">
            <v>Project HOPE, Tajikistan</v>
          </cell>
        </row>
        <row r="997">
          <cell r="B997" t="str">
            <v>TAJ-404-G03-H</v>
          </cell>
          <cell r="C997" t="str">
            <v>Administratively Closed</v>
          </cell>
          <cell r="D997" t="str">
            <v>Eastern Europe and Central Asia</v>
          </cell>
          <cell r="E997" t="str">
            <v>TJK</v>
          </cell>
          <cell r="F997" t="str">
            <v>United Nations Development Programme, Tajikistan</v>
          </cell>
        </row>
        <row r="998">
          <cell r="B998" t="str">
            <v>TAJ-506-G04-M</v>
          </cell>
          <cell r="C998" t="str">
            <v>Administratively Closed</v>
          </cell>
          <cell r="D998" t="str">
            <v>Eastern Europe and Central Asia</v>
          </cell>
          <cell r="E998" t="str">
            <v>TJK</v>
          </cell>
          <cell r="F998" t="str">
            <v>United Nations Development Programme, Tajikistan</v>
          </cell>
        </row>
        <row r="999">
          <cell r="B999" t="str">
            <v>TAJ-607-G05-H</v>
          </cell>
          <cell r="C999" t="str">
            <v>Administratively Closed</v>
          </cell>
          <cell r="D999" t="str">
            <v>Eastern Europe and Central Asia</v>
          </cell>
          <cell r="E999" t="str">
            <v>TJK</v>
          </cell>
          <cell r="F999" t="str">
            <v>United Nations Development Programme, Tajikistan</v>
          </cell>
        </row>
        <row r="1000">
          <cell r="B1000" t="str">
            <v>TAJ-607-G06-T</v>
          </cell>
          <cell r="C1000" t="str">
            <v>Administratively Closed</v>
          </cell>
          <cell r="D1000" t="str">
            <v>Eastern Europe and Central Asia</v>
          </cell>
          <cell r="E1000" t="str">
            <v>TJK</v>
          </cell>
          <cell r="F1000" t="str">
            <v>United Nations Development Programme, Tajikistan</v>
          </cell>
        </row>
        <row r="1001">
          <cell r="B1001" t="str">
            <v>TAJ-809-G07-H</v>
          </cell>
          <cell r="C1001" t="str">
            <v>Active</v>
          </cell>
          <cell r="D1001" t="str">
            <v>Eastern Europe and Central Asia</v>
          </cell>
          <cell r="E1001" t="str">
            <v>TJK</v>
          </cell>
          <cell r="F1001" t="str">
            <v>United Nations Development Programme, Tajikistan</v>
          </cell>
        </row>
        <row r="1002">
          <cell r="B1002" t="str">
            <v>TAJ-809-G08-M</v>
          </cell>
          <cell r="C1002" t="str">
            <v>Active</v>
          </cell>
          <cell r="D1002" t="str">
            <v>Eastern Europe and Central Asia</v>
          </cell>
          <cell r="E1002" t="str">
            <v>TJK</v>
          </cell>
          <cell r="F1002" t="str">
            <v>United Nations Development Programme, Tajikistan</v>
          </cell>
        </row>
        <row r="1003">
          <cell r="B1003" t="str">
            <v>TAJ-809-G09-T</v>
          </cell>
          <cell r="C1003" t="str">
            <v>Active</v>
          </cell>
          <cell r="D1003" t="str">
            <v>Eastern Europe and Central Asia</v>
          </cell>
          <cell r="E1003" t="str">
            <v>TJK</v>
          </cell>
          <cell r="F1003" t="str">
            <v>United Nations Development Programme, Tajikistan</v>
          </cell>
        </row>
        <row r="1004">
          <cell r="B1004" t="str">
            <v>TNZ-102-G01-M-00</v>
          </cell>
          <cell r="C1004" t="str">
            <v>Financial Closure</v>
          </cell>
          <cell r="D1004" t="str">
            <v>High Impact Africa 2</v>
          </cell>
          <cell r="E1004" t="str">
            <v>TZA</v>
          </cell>
          <cell r="F1004" t="str">
            <v>Ministry of Health of Tanzania</v>
          </cell>
        </row>
        <row r="1005">
          <cell r="B1005" t="str">
            <v>TNZ-102-G02-H-00</v>
          </cell>
          <cell r="C1005" t="str">
            <v>Administratively Closed</v>
          </cell>
          <cell r="D1005" t="str">
            <v>High Impact Africa 2</v>
          </cell>
          <cell r="E1005" t="str">
            <v>TZA</v>
          </cell>
          <cell r="F1005" t="str">
            <v>Ministry of Finance of Tanzania</v>
          </cell>
        </row>
        <row r="1006">
          <cell r="B1006" t="str">
            <v>TNZ-304-G03-C</v>
          </cell>
          <cell r="C1006" t="str">
            <v>Financial Closure</v>
          </cell>
          <cell r="D1006" t="str">
            <v>High Impact Africa 2</v>
          </cell>
          <cell r="E1006" t="str">
            <v>TZA</v>
          </cell>
          <cell r="F1006" t="str">
            <v>Ministry of Finance of Tanzania</v>
          </cell>
        </row>
        <row r="1007">
          <cell r="B1007" t="str">
            <v>TNZ-405-G04-H</v>
          </cell>
          <cell r="C1007" t="str">
            <v>Financial Closure</v>
          </cell>
          <cell r="D1007" t="str">
            <v>High Impact Africa 2</v>
          </cell>
          <cell r="E1007" t="str">
            <v>TZA</v>
          </cell>
          <cell r="F1007" t="str">
            <v>Ministry of Finance of Tanzania</v>
          </cell>
        </row>
        <row r="1008">
          <cell r="B1008" t="str">
            <v>TNZ-405-G05-H</v>
          </cell>
          <cell r="C1008" t="str">
            <v>Financial Closure</v>
          </cell>
          <cell r="D1008" t="str">
            <v>High Impact Africa 2</v>
          </cell>
          <cell r="E1008" t="str">
            <v>TZA</v>
          </cell>
          <cell r="F1008" t="str">
            <v>Pact Tanzania</v>
          </cell>
        </row>
        <row r="1009">
          <cell r="B1009" t="str">
            <v>TNZ-405-G06-H</v>
          </cell>
          <cell r="C1009" t="str">
            <v>Active</v>
          </cell>
          <cell r="D1009" t="str">
            <v>High Impact Africa 2</v>
          </cell>
          <cell r="E1009" t="str">
            <v>TZA</v>
          </cell>
          <cell r="F1009" t="str">
            <v>Population Services International, Tanzania</v>
          </cell>
        </row>
        <row r="1010">
          <cell r="B1010" t="str">
            <v>TNZ-405-G07-H</v>
          </cell>
          <cell r="C1010" t="str">
            <v>Financial Closure</v>
          </cell>
          <cell r="D1010" t="str">
            <v>High Impact Africa 2</v>
          </cell>
          <cell r="E1010" t="str">
            <v>TZA</v>
          </cell>
          <cell r="F1010" t="str">
            <v>African Medical and Research Foundation in Tanzania</v>
          </cell>
        </row>
        <row r="1011">
          <cell r="B1011" t="str">
            <v>TNZ-405-G08-M</v>
          </cell>
          <cell r="C1011" t="str">
            <v>Financial Closure</v>
          </cell>
          <cell r="D1011" t="str">
            <v>High Impact Africa 2</v>
          </cell>
          <cell r="E1011" t="str">
            <v>TZA</v>
          </cell>
          <cell r="F1011" t="str">
            <v>Ministry of Finance of Tanzania</v>
          </cell>
        </row>
        <row r="1012">
          <cell r="B1012" t="str">
            <v>TNZ-607-G09-T</v>
          </cell>
          <cell r="C1012" t="str">
            <v>Active</v>
          </cell>
          <cell r="D1012" t="str">
            <v>High Impact Africa 2</v>
          </cell>
          <cell r="E1012" t="str">
            <v>TZA</v>
          </cell>
          <cell r="F1012" t="str">
            <v>Ministry of Finance of Tanzania</v>
          </cell>
        </row>
        <row r="1013">
          <cell r="B1013" t="str">
            <v>TNZ-708-G10-M</v>
          </cell>
          <cell r="C1013" t="str">
            <v>Administratively Closed</v>
          </cell>
          <cell r="D1013" t="str">
            <v>High Impact Africa 2</v>
          </cell>
          <cell r="E1013" t="str">
            <v>TZA</v>
          </cell>
          <cell r="F1013" t="str">
            <v>Ministry of Finance of Tanzania</v>
          </cell>
        </row>
        <row r="1014">
          <cell r="B1014" t="str">
            <v>TNZ-809-G11-M</v>
          </cell>
          <cell r="C1014" t="str">
            <v>Administratively Closed</v>
          </cell>
          <cell r="D1014" t="str">
            <v>High Impact Africa 2</v>
          </cell>
          <cell r="E1014" t="str">
            <v>TZA</v>
          </cell>
          <cell r="F1014" t="str">
            <v>Ministry of Finance of Tanzania</v>
          </cell>
        </row>
        <row r="1015">
          <cell r="B1015" t="str">
            <v>TNZ-809-G12-H</v>
          </cell>
          <cell r="C1015" t="str">
            <v>Active</v>
          </cell>
          <cell r="D1015" t="str">
            <v>High Impact Africa 2</v>
          </cell>
          <cell r="E1015" t="str">
            <v>TZA</v>
          </cell>
          <cell r="F1015" t="str">
            <v>African Medical and Research Foundation in Tanzania</v>
          </cell>
        </row>
        <row r="1016">
          <cell r="B1016" t="str">
            <v>TNZ-809-G13-H</v>
          </cell>
          <cell r="C1016" t="str">
            <v>Active</v>
          </cell>
          <cell r="D1016" t="str">
            <v>High Impact Africa 2</v>
          </cell>
          <cell r="E1016" t="str">
            <v>TZA</v>
          </cell>
          <cell r="F1016" t="str">
            <v>Ministry of Finance of Tanzania</v>
          </cell>
        </row>
        <row r="1017">
          <cell r="B1017" t="str">
            <v>TNZ-911-G14-S</v>
          </cell>
          <cell r="C1017" t="str">
            <v>Active</v>
          </cell>
          <cell r="D1017" t="str">
            <v>High Impact Africa 2</v>
          </cell>
          <cell r="E1017" t="str">
            <v>TZA</v>
          </cell>
          <cell r="F1017" t="str">
            <v>Ministry of Finance of Tanzania</v>
          </cell>
        </row>
        <row r="1018">
          <cell r="B1018" t="str">
            <v>TNZ-M-MOFEA</v>
          </cell>
          <cell r="C1018" t="str">
            <v>Active</v>
          </cell>
          <cell r="D1018" t="str">
            <v>High Impact Africa 2</v>
          </cell>
          <cell r="E1018" t="str">
            <v>TZA</v>
          </cell>
          <cell r="F1018" t="str">
            <v>Ministry of Finance of Tanzania</v>
          </cell>
        </row>
        <row r="1019">
          <cell r="B1019" t="str">
            <v>THA-102-G01-H-00</v>
          </cell>
          <cell r="C1019" t="str">
            <v>Administratively Closed</v>
          </cell>
          <cell r="D1019" t="str">
            <v>High Impact Asia</v>
          </cell>
          <cell r="E1019" t="str">
            <v>THA</v>
          </cell>
          <cell r="F1019" t="str">
            <v>Ministry of Public Health of Thailand</v>
          </cell>
        </row>
        <row r="1020">
          <cell r="B1020" t="str">
            <v>THA-102-G02-T-00</v>
          </cell>
          <cell r="C1020" t="str">
            <v>Administratively Closed</v>
          </cell>
          <cell r="D1020" t="str">
            <v>High Impact Asia</v>
          </cell>
          <cell r="E1020" t="str">
            <v>THA</v>
          </cell>
          <cell r="F1020" t="str">
            <v>Ministry of Public Health of Thailand</v>
          </cell>
        </row>
        <row r="1021">
          <cell r="B1021" t="str">
            <v>THA-202-G03-H-00</v>
          </cell>
          <cell r="C1021" t="str">
            <v>Administratively Closed</v>
          </cell>
          <cell r="D1021" t="str">
            <v>High Impact Asia</v>
          </cell>
          <cell r="E1021" t="str">
            <v>THA</v>
          </cell>
          <cell r="F1021" t="str">
            <v>Raks Thai Foundation</v>
          </cell>
        </row>
        <row r="1022">
          <cell r="B1022" t="str">
            <v>THA-202-G04-H-00</v>
          </cell>
          <cell r="C1022" t="str">
            <v>Administratively Closed</v>
          </cell>
          <cell r="D1022" t="str">
            <v>High Impact Asia</v>
          </cell>
          <cell r="E1022" t="str">
            <v>THA</v>
          </cell>
          <cell r="F1022" t="str">
            <v>Ministry of Public Health of Thailand</v>
          </cell>
        </row>
        <row r="1023">
          <cell r="B1023" t="str">
            <v>THA-202-G05-M-00</v>
          </cell>
          <cell r="C1023" t="str">
            <v>Administratively Closed</v>
          </cell>
          <cell r="D1023" t="str">
            <v>High Impact Asia</v>
          </cell>
          <cell r="E1023" t="str">
            <v>THA</v>
          </cell>
          <cell r="F1023" t="str">
            <v>Ministry of Public Health of Thailand</v>
          </cell>
        </row>
        <row r="1024">
          <cell r="B1024" t="str">
            <v>THA-304-G06-H</v>
          </cell>
          <cell r="C1024" t="str">
            <v>Administratively Closed</v>
          </cell>
          <cell r="D1024" t="str">
            <v>High Impact Asia</v>
          </cell>
          <cell r="E1024" t="str">
            <v>THA</v>
          </cell>
          <cell r="F1024" t="str">
            <v>Raks Thai Foundation</v>
          </cell>
        </row>
        <row r="1025">
          <cell r="B1025" t="str">
            <v>THA-607-G07-T</v>
          </cell>
          <cell r="C1025" t="str">
            <v>Financial Closure</v>
          </cell>
          <cell r="D1025" t="str">
            <v>High Impact Asia</v>
          </cell>
          <cell r="E1025" t="str">
            <v>THA</v>
          </cell>
          <cell r="F1025" t="str">
            <v>Ministry of Public Health of Thailand</v>
          </cell>
        </row>
        <row r="1026">
          <cell r="B1026" t="str">
            <v>THA-607-G08-T</v>
          </cell>
          <cell r="C1026" t="str">
            <v>Financial Closure</v>
          </cell>
          <cell r="D1026" t="str">
            <v>High Impact Asia</v>
          </cell>
          <cell r="E1026" t="str">
            <v>THA</v>
          </cell>
          <cell r="F1026" t="str">
            <v>World Vision Thailand</v>
          </cell>
        </row>
        <row r="1027">
          <cell r="B1027" t="str">
            <v>THA-708-G09-M</v>
          </cell>
          <cell r="C1027" t="str">
            <v>Administratively Closed</v>
          </cell>
          <cell r="D1027" t="str">
            <v>High Impact Asia</v>
          </cell>
          <cell r="E1027" t="str">
            <v>THA</v>
          </cell>
          <cell r="F1027" t="str">
            <v>Ministry of Public Health of Thailand</v>
          </cell>
        </row>
        <row r="1028">
          <cell r="B1028" t="str">
            <v>THA-809-G10-H</v>
          </cell>
          <cell r="C1028" t="str">
            <v>Administratively Closed</v>
          </cell>
          <cell r="D1028" t="str">
            <v>High Impact Asia</v>
          </cell>
          <cell r="E1028" t="str">
            <v>THA</v>
          </cell>
          <cell r="F1028" t="str">
            <v>Ministry of Public Health of Thailand</v>
          </cell>
        </row>
        <row r="1029">
          <cell r="B1029" t="str">
            <v>THA-809-G11-H</v>
          </cell>
          <cell r="C1029" t="str">
            <v>Administratively Closed</v>
          </cell>
          <cell r="D1029" t="str">
            <v>High Impact Asia</v>
          </cell>
          <cell r="E1029" t="str">
            <v>THA</v>
          </cell>
          <cell r="F1029" t="str">
            <v>Population Services International, USA</v>
          </cell>
        </row>
        <row r="1030">
          <cell r="B1030" t="str">
            <v>THA-809-G12-H</v>
          </cell>
          <cell r="C1030" t="str">
            <v>Administratively Closed</v>
          </cell>
          <cell r="D1030" t="str">
            <v>High Impact Asia</v>
          </cell>
          <cell r="E1030" t="str">
            <v>THA</v>
          </cell>
          <cell r="F1030" t="str">
            <v>Raks Thai Foundation</v>
          </cell>
        </row>
        <row r="1031">
          <cell r="B1031" t="str">
            <v>THA-809-G13-T</v>
          </cell>
          <cell r="C1031" t="str">
            <v>Administratively Closed</v>
          </cell>
          <cell r="D1031" t="str">
            <v>High Impact Asia</v>
          </cell>
          <cell r="E1031" t="str">
            <v>THA</v>
          </cell>
          <cell r="F1031" t="str">
            <v>Ministry of Public Health of Thailand</v>
          </cell>
        </row>
        <row r="1032">
          <cell r="B1032" t="str">
            <v>THA-C-DDC</v>
          </cell>
          <cell r="C1032" t="str">
            <v>Active</v>
          </cell>
          <cell r="D1032" t="str">
            <v>High Impact Asia</v>
          </cell>
          <cell r="E1032" t="str">
            <v>THA</v>
          </cell>
          <cell r="F1032" t="str">
            <v>Ministry of Public Health of Thailand</v>
          </cell>
        </row>
        <row r="1033">
          <cell r="B1033" t="str">
            <v>THA-C-RTF</v>
          </cell>
          <cell r="C1033" t="str">
            <v>Active</v>
          </cell>
          <cell r="D1033" t="str">
            <v>High Impact Asia</v>
          </cell>
          <cell r="E1033" t="str">
            <v>THA</v>
          </cell>
          <cell r="F1033" t="str">
            <v>Raks Thai Foundation</v>
          </cell>
        </row>
        <row r="1034">
          <cell r="B1034" t="str">
            <v>THA-H-ACC</v>
          </cell>
          <cell r="C1034" t="str">
            <v>Active</v>
          </cell>
          <cell r="D1034" t="str">
            <v>High Impact Asia</v>
          </cell>
          <cell r="E1034" t="str">
            <v>THA</v>
          </cell>
          <cell r="F1034" t="str">
            <v>Aids Access Foundation</v>
          </cell>
        </row>
        <row r="1035">
          <cell r="B1035" t="str">
            <v>THA-H-DDC</v>
          </cell>
          <cell r="C1035" t="str">
            <v>Active</v>
          </cell>
          <cell r="D1035" t="str">
            <v>High Impact Asia</v>
          </cell>
          <cell r="E1035" t="str">
            <v>THA</v>
          </cell>
          <cell r="F1035" t="str">
            <v>Ministry of Public Health of Thailand</v>
          </cell>
        </row>
        <row r="1036">
          <cell r="B1036" t="str">
            <v>THA-H-PSI</v>
          </cell>
          <cell r="C1036" t="str">
            <v>Active</v>
          </cell>
          <cell r="D1036" t="str">
            <v>High Impact Asia</v>
          </cell>
          <cell r="E1036" t="str">
            <v>THA</v>
          </cell>
          <cell r="F1036" t="str">
            <v>Population Services International, USA</v>
          </cell>
        </row>
        <row r="1037">
          <cell r="B1037" t="str">
            <v>THA-H-RTF</v>
          </cell>
          <cell r="C1037" t="str">
            <v>Active</v>
          </cell>
          <cell r="D1037" t="str">
            <v>High Impact Asia</v>
          </cell>
          <cell r="E1037" t="str">
            <v>THA</v>
          </cell>
          <cell r="F1037" t="str">
            <v>Raks Thai Foundation</v>
          </cell>
        </row>
        <row r="1038">
          <cell r="B1038" t="str">
            <v>THA-M-DDC</v>
          </cell>
          <cell r="C1038" t="str">
            <v>Active</v>
          </cell>
          <cell r="D1038" t="str">
            <v>High Impact Asia</v>
          </cell>
          <cell r="E1038" t="str">
            <v>THA</v>
          </cell>
          <cell r="F1038" t="str">
            <v>Ministry of Public Health of Thailand</v>
          </cell>
        </row>
        <row r="1039">
          <cell r="B1039" t="str">
            <v>THA-T-DDC</v>
          </cell>
          <cell r="C1039" t="str">
            <v>Active</v>
          </cell>
          <cell r="D1039" t="str">
            <v>High Impact Asia</v>
          </cell>
          <cell r="E1039" t="str">
            <v>THA</v>
          </cell>
          <cell r="F1039" t="str">
            <v>Ministry of Public Health of Thailand</v>
          </cell>
        </row>
        <row r="1040">
          <cell r="B1040" t="str">
            <v>TLS-708-G04-T</v>
          </cell>
          <cell r="C1040" t="str">
            <v>Active</v>
          </cell>
          <cell r="D1040" t="str">
            <v>South East Asia</v>
          </cell>
          <cell r="E1040" t="str">
            <v>TLS</v>
          </cell>
          <cell r="F1040" t="str">
            <v>Ministry of Health of Timor-Leste</v>
          </cell>
        </row>
        <row r="1041">
          <cell r="B1041" t="str">
            <v>TLS-H-MOH</v>
          </cell>
          <cell r="C1041" t="str">
            <v>Active</v>
          </cell>
          <cell r="D1041" t="str">
            <v>South East Asia</v>
          </cell>
          <cell r="E1041" t="str">
            <v>TLS</v>
          </cell>
          <cell r="F1041" t="str">
            <v>Ministry of Health of Timor-Leste</v>
          </cell>
        </row>
        <row r="1042">
          <cell r="B1042" t="str">
            <v>TLS-M-MOH</v>
          </cell>
          <cell r="C1042" t="str">
            <v>Active</v>
          </cell>
          <cell r="D1042" t="str">
            <v>South East Asia</v>
          </cell>
          <cell r="E1042" t="str">
            <v>TLS</v>
          </cell>
          <cell r="F1042" t="str">
            <v>Ministry of Health of Timor-Leste</v>
          </cell>
        </row>
        <row r="1043">
          <cell r="B1043" t="str">
            <v>TMP-202-G01-M-00</v>
          </cell>
          <cell r="C1043" t="str">
            <v>Administratively Closed</v>
          </cell>
          <cell r="D1043" t="str">
            <v>South East Asia</v>
          </cell>
          <cell r="E1043" t="str">
            <v>TLS</v>
          </cell>
          <cell r="F1043" t="str">
            <v>Ministry of Health of Timor-Leste</v>
          </cell>
        </row>
        <row r="1044">
          <cell r="B1044" t="str">
            <v>TMP-304-G02-T</v>
          </cell>
          <cell r="C1044" t="str">
            <v>Administratively Closed</v>
          </cell>
          <cell r="D1044" t="str">
            <v>South East Asia</v>
          </cell>
          <cell r="E1044" t="str">
            <v>TLS</v>
          </cell>
          <cell r="F1044" t="str">
            <v>Ministry of Health of Timor-Leste</v>
          </cell>
        </row>
        <row r="1045">
          <cell r="B1045" t="str">
            <v>TMP-506-G03-H</v>
          </cell>
          <cell r="C1045" t="str">
            <v>Administratively Closed</v>
          </cell>
          <cell r="D1045" t="str">
            <v>South East Asia</v>
          </cell>
          <cell r="E1045" t="str">
            <v>TLS</v>
          </cell>
          <cell r="F1045" t="str">
            <v>Ministry of Health of Timor-Leste</v>
          </cell>
        </row>
        <row r="1046">
          <cell r="B1046" t="str">
            <v>TMP-709-G05-M</v>
          </cell>
          <cell r="C1046" t="str">
            <v>Administratively Closed</v>
          </cell>
          <cell r="D1046" t="str">
            <v>South East Asia</v>
          </cell>
          <cell r="E1046" t="str">
            <v>TLS</v>
          </cell>
          <cell r="F1046" t="str">
            <v>Ministry of Health of Timor-Leste</v>
          </cell>
        </row>
        <row r="1047">
          <cell r="B1047" t="str">
            <v>TGO-202-G01-H-00</v>
          </cell>
          <cell r="C1047" t="str">
            <v>Administratively Closed</v>
          </cell>
          <cell r="D1047" t="str">
            <v>Central Africa</v>
          </cell>
          <cell r="E1047" t="str">
            <v>TGO</v>
          </cell>
          <cell r="F1047" t="str">
            <v>United Nations Development Programme, Togo</v>
          </cell>
        </row>
        <row r="1048">
          <cell r="B1048" t="str">
            <v>TGO-304-G02-M</v>
          </cell>
          <cell r="C1048" t="str">
            <v>Administratively Closed</v>
          </cell>
          <cell r="D1048" t="str">
            <v>Central Africa</v>
          </cell>
          <cell r="E1048" t="str">
            <v>TGO</v>
          </cell>
          <cell r="F1048" t="str">
            <v>United Nations Development Programme, Togo</v>
          </cell>
        </row>
        <row r="1049">
          <cell r="B1049" t="str">
            <v>TGO-304-G03-T</v>
          </cell>
          <cell r="C1049" t="str">
            <v>Administratively Closed</v>
          </cell>
          <cell r="D1049" t="str">
            <v>Central Africa</v>
          </cell>
          <cell r="E1049" t="str">
            <v>TGO</v>
          </cell>
          <cell r="F1049" t="str">
            <v>United Nations Development Programme, Togo</v>
          </cell>
        </row>
        <row r="1050">
          <cell r="B1050" t="str">
            <v>TGO-405-G04-H</v>
          </cell>
          <cell r="C1050" t="str">
            <v>Financial Closure</v>
          </cell>
          <cell r="D1050" t="str">
            <v>Central Africa</v>
          </cell>
          <cell r="E1050" t="str">
            <v>TGO</v>
          </cell>
          <cell r="F1050" t="str">
            <v>Population Services International, Togo</v>
          </cell>
        </row>
        <row r="1051">
          <cell r="B1051" t="str">
            <v>TGO-405-G05-M</v>
          </cell>
          <cell r="C1051" t="str">
            <v>Administratively Closed</v>
          </cell>
          <cell r="D1051" t="str">
            <v>Central Africa</v>
          </cell>
          <cell r="E1051" t="str">
            <v>TGO</v>
          </cell>
          <cell r="F1051" t="str">
            <v>United Nations Development Programme, Togo</v>
          </cell>
        </row>
        <row r="1052">
          <cell r="B1052" t="str">
            <v>TGO-607-G06-M</v>
          </cell>
          <cell r="C1052" t="str">
            <v>Administratively Closed</v>
          </cell>
          <cell r="D1052" t="str">
            <v>Central Africa</v>
          </cell>
          <cell r="E1052" t="str">
            <v>TGO</v>
          </cell>
          <cell r="F1052" t="str">
            <v>United Nations Development Programme, Togo</v>
          </cell>
        </row>
        <row r="1053">
          <cell r="B1053" t="str">
            <v>TGO-607-G07-T</v>
          </cell>
          <cell r="C1053" t="str">
            <v>Administratively Closed</v>
          </cell>
          <cell r="D1053" t="str">
            <v>Central Africa</v>
          </cell>
          <cell r="E1053" t="str">
            <v>TGO</v>
          </cell>
          <cell r="F1053" t="str">
            <v>United Nations Development Programme, Togo</v>
          </cell>
        </row>
        <row r="1054">
          <cell r="B1054" t="str">
            <v>TGO-809-G08-H</v>
          </cell>
          <cell r="C1054" t="str">
            <v>Active</v>
          </cell>
          <cell r="D1054" t="str">
            <v>Central Africa</v>
          </cell>
          <cell r="E1054" t="str">
            <v>TGO</v>
          </cell>
          <cell r="F1054" t="str">
            <v>Ministry of Health of Togo</v>
          </cell>
        </row>
        <row r="1055">
          <cell r="B1055" t="str">
            <v>TGO-809-G09-H</v>
          </cell>
          <cell r="C1055" t="str">
            <v>Active</v>
          </cell>
          <cell r="D1055" t="str">
            <v>Central Africa</v>
          </cell>
          <cell r="E1055" t="str">
            <v>TGO</v>
          </cell>
          <cell r="F1055" t="str">
            <v>Population Services International, Togo</v>
          </cell>
        </row>
        <row r="1056">
          <cell r="B1056" t="str">
            <v>TGO-910-G10-M</v>
          </cell>
          <cell r="C1056" t="str">
            <v>Active</v>
          </cell>
          <cell r="D1056" t="str">
            <v>Central Africa</v>
          </cell>
          <cell r="E1056" t="str">
            <v>TGO</v>
          </cell>
          <cell r="F1056" t="str">
            <v>Plan International Togo</v>
          </cell>
        </row>
        <row r="1057">
          <cell r="B1057" t="str">
            <v>TGO-910-G11-M</v>
          </cell>
          <cell r="C1057" t="str">
            <v>Active</v>
          </cell>
          <cell r="D1057" t="str">
            <v>Central Africa</v>
          </cell>
          <cell r="E1057" t="str">
            <v>TGO</v>
          </cell>
          <cell r="F1057" t="str">
            <v>Ministry of Health of Togo</v>
          </cell>
        </row>
        <row r="1058">
          <cell r="B1058" t="str">
            <v>TGO-T12-G12-T</v>
          </cell>
          <cell r="C1058" t="str">
            <v>Active</v>
          </cell>
          <cell r="D1058" t="str">
            <v>Central Africa</v>
          </cell>
          <cell r="E1058" t="str">
            <v>TGO</v>
          </cell>
          <cell r="F1058" t="str">
            <v>Ministry of Health of Togo</v>
          </cell>
        </row>
        <row r="1059">
          <cell r="B1059" t="str">
            <v>TUN-607-G01-H</v>
          </cell>
          <cell r="C1059" t="str">
            <v>Active</v>
          </cell>
          <cell r="D1059" t="str">
            <v>Middle East and North Africa</v>
          </cell>
          <cell r="E1059" t="str">
            <v>TUN</v>
          </cell>
          <cell r="F1059" t="str">
            <v>National Office for Family and Population</v>
          </cell>
        </row>
        <row r="1060">
          <cell r="B1060" t="str">
            <v>TUN-810-G02-T</v>
          </cell>
          <cell r="C1060" t="str">
            <v>Active</v>
          </cell>
          <cell r="D1060" t="str">
            <v>Middle East and North Africa</v>
          </cell>
          <cell r="E1060" t="str">
            <v>TUN</v>
          </cell>
          <cell r="F1060" t="str">
            <v>Direction des Soins de Santé de Base, Government of Tunisia</v>
          </cell>
        </row>
        <row r="1061">
          <cell r="B1061" t="str">
            <v>TUN-810-G03-T</v>
          </cell>
          <cell r="C1061" t="str">
            <v>Active</v>
          </cell>
          <cell r="D1061" t="str">
            <v>Middle East and North Africa</v>
          </cell>
          <cell r="E1061" t="str">
            <v>TUN</v>
          </cell>
          <cell r="F1061" t="str">
            <v>Société Tunisienne des Maladies Respiratoires</v>
          </cell>
        </row>
        <row r="1062">
          <cell r="B1062" t="str">
            <v>TUR-405-G01-H</v>
          </cell>
          <cell r="C1062" t="str">
            <v>Administratively Closed</v>
          </cell>
          <cell r="D1062" t="str">
            <v>Eastern Europe and Central Asia</v>
          </cell>
          <cell r="E1062" t="str">
            <v>TUR</v>
          </cell>
          <cell r="F1062" t="str">
            <v>Ministry of Health of Turkey</v>
          </cell>
        </row>
        <row r="1063">
          <cell r="B1063" t="str">
            <v>TKM-910-G01-T</v>
          </cell>
          <cell r="C1063" t="str">
            <v>Active</v>
          </cell>
          <cell r="D1063" t="str">
            <v>Eastern Europe and Central Asia</v>
          </cell>
          <cell r="E1063" t="str">
            <v>TKM</v>
          </cell>
          <cell r="F1063" t="str">
            <v>United Nations Development Programme, Turkmenistan</v>
          </cell>
        </row>
        <row r="1064">
          <cell r="B1064" t="str">
            <v>UGA-M-MoFPED</v>
          </cell>
          <cell r="C1064" t="str">
            <v>Active</v>
          </cell>
          <cell r="D1064" t="str">
            <v>High Impact Africa 2</v>
          </cell>
          <cell r="E1064" t="str">
            <v>UGA</v>
          </cell>
          <cell r="F1064" t="str">
            <v>Ministry of Finance, Planning and Economic Development of Uganda</v>
          </cell>
        </row>
        <row r="1065">
          <cell r="B1065" t="str">
            <v>UGA-M-TASO</v>
          </cell>
          <cell r="C1065" t="str">
            <v>Active</v>
          </cell>
          <cell r="D1065" t="str">
            <v>High Impact Africa 2</v>
          </cell>
          <cell r="E1065" t="str">
            <v>UGA</v>
          </cell>
          <cell r="F1065" t="str">
            <v>The AIDS Support Organisation (Uganda) Limited</v>
          </cell>
        </row>
        <row r="1066">
          <cell r="B1066" t="str">
            <v>UGD-011-G09-S</v>
          </cell>
          <cell r="C1066" t="str">
            <v>Active</v>
          </cell>
          <cell r="D1066" t="str">
            <v>High Impact Africa 2</v>
          </cell>
          <cell r="E1066" t="str">
            <v>UGA</v>
          </cell>
          <cell r="F1066" t="str">
            <v>Ministry of Finance, Planning and Economic Development of Uganda</v>
          </cell>
        </row>
        <row r="1067">
          <cell r="B1067" t="str">
            <v>UGD-011-G10-S</v>
          </cell>
          <cell r="C1067" t="str">
            <v>Active</v>
          </cell>
          <cell r="D1067" t="str">
            <v>High Impact Africa 2</v>
          </cell>
          <cell r="E1067" t="str">
            <v>UGA</v>
          </cell>
          <cell r="F1067" t="str">
            <v>The AIDS Support Organisation (Uganda) Limited</v>
          </cell>
        </row>
        <row r="1068">
          <cell r="B1068" t="str">
            <v>UGD-011-G11-M</v>
          </cell>
          <cell r="C1068" t="str">
            <v>Active</v>
          </cell>
          <cell r="D1068" t="str">
            <v>High Impact Africa 2</v>
          </cell>
          <cell r="E1068" t="str">
            <v>UGA</v>
          </cell>
          <cell r="F1068" t="str">
            <v>Ministry of Finance, Planning and Economic Development of Uganda</v>
          </cell>
        </row>
        <row r="1069">
          <cell r="B1069" t="str">
            <v>UGD-011-G12-M</v>
          </cell>
          <cell r="C1069" t="str">
            <v>Active</v>
          </cell>
          <cell r="D1069" t="str">
            <v>High Impact Africa 2</v>
          </cell>
          <cell r="E1069" t="str">
            <v>UGA</v>
          </cell>
          <cell r="F1069" t="str">
            <v>The AIDS Support Organisation (Uganda) Limited</v>
          </cell>
        </row>
        <row r="1070">
          <cell r="B1070" t="str">
            <v>UGD-102-G01-H-00</v>
          </cell>
          <cell r="C1070" t="str">
            <v>Administratively Closed</v>
          </cell>
          <cell r="D1070" t="str">
            <v>High Impact Africa 2</v>
          </cell>
          <cell r="E1070" t="str">
            <v>UGA</v>
          </cell>
          <cell r="F1070" t="str">
            <v>Ministry of Finance, Planning and Economic Development of Uganda</v>
          </cell>
        </row>
        <row r="1071">
          <cell r="B1071" t="str">
            <v>UGD-202-G02-M-00</v>
          </cell>
          <cell r="C1071" t="str">
            <v>Administratively Closed</v>
          </cell>
          <cell r="D1071" t="str">
            <v>High Impact Africa 2</v>
          </cell>
          <cell r="E1071" t="str">
            <v>UGA</v>
          </cell>
          <cell r="F1071" t="str">
            <v>Ministry of Finance, Planning and Economic Development of Uganda</v>
          </cell>
        </row>
        <row r="1072">
          <cell r="B1072" t="str">
            <v>UGD-202-G03-T-00</v>
          </cell>
          <cell r="C1072" t="str">
            <v>Administratively Closed</v>
          </cell>
          <cell r="D1072" t="str">
            <v>High Impact Africa 2</v>
          </cell>
          <cell r="E1072" t="str">
            <v>UGA</v>
          </cell>
          <cell r="F1072" t="str">
            <v>Ministry of Finance, Planning and Economic Development of Uganda</v>
          </cell>
        </row>
        <row r="1073">
          <cell r="B1073" t="str">
            <v>UGD-304-G04-H</v>
          </cell>
          <cell r="C1073" t="str">
            <v>Financial Closure</v>
          </cell>
          <cell r="D1073" t="str">
            <v>High Impact Africa 2</v>
          </cell>
          <cell r="E1073" t="str">
            <v>UGA</v>
          </cell>
          <cell r="F1073" t="str">
            <v>Ministry of Finance, Planning and Economic Development of Uganda</v>
          </cell>
        </row>
        <row r="1074">
          <cell r="B1074" t="str">
            <v>UGD-405-G05-M</v>
          </cell>
          <cell r="C1074" t="str">
            <v>Financial Closure</v>
          </cell>
          <cell r="D1074" t="str">
            <v>High Impact Africa 2</v>
          </cell>
          <cell r="E1074" t="str">
            <v>UGA</v>
          </cell>
          <cell r="F1074" t="str">
            <v>Ministry of Finance, Planning and Economic Development of Uganda</v>
          </cell>
        </row>
        <row r="1075">
          <cell r="B1075" t="str">
            <v>UGD-607-G06-T</v>
          </cell>
          <cell r="C1075" t="str">
            <v>Administratively Closed</v>
          </cell>
          <cell r="D1075" t="str">
            <v>High Impact Africa 2</v>
          </cell>
          <cell r="E1075" t="str">
            <v>UGA</v>
          </cell>
          <cell r="F1075" t="str">
            <v>Ministry of Finance, Planning and Economic Development of Uganda</v>
          </cell>
        </row>
        <row r="1076">
          <cell r="B1076" t="str">
            <v>UGD-708-G07-H</v>
          </cell>
          <cell r="C1076" t="str">
            <v>Active</v>
          </cell>
          <cell r="D1076" t="str">
            <v>High Impact Africa 2</v>
          </cell>
          <cell r="E1076" t="str">
            <v>UGA</v>
          </cell>
          <cell r="F1076" t="str">
            <v>Ministry of Finance, Planning and Economic Development of Uganda</v>
          </cell>
        </row>
        <row r="1077">
          <cell r="B1077" t="str">
            <v>UGD-708-G08-M</v>
          </cell>
          <cell r="C1077" t="str">
            <v>Active</v>
          </cell>
          <cell r="D1077" t="str">
            <v>High Impact Africa 2</v>
          </cell>
          <cell r="E1077" t="str">
            <v>UGA</v>
          </cell>
          <cell r="F1077" t="str">
            <v>Ministry of Finance, Planning and Economic Development of Uganda</v>
          </cell>
        </row>
        <row r="1078">
          <cell r="B1078" t="str">
            <v>UGD-708-G13-H</v>
          </cell>
          <cell r="C1078" t="str">
            <v>Active</v>
          </cell>
          <cell r="D1078" t="str">
            <v>High Impact Africa 2</v>
          </cell>
          <cell r="E1078" t="str">
            <v>UGA</v>
          </cell>
          <cell r="F1078" t="str">
            <v>The AIDS Support Organisation (Uganda) Limited</v>
          </cell>
        </row>
        <row r="1079">
          <cell r="B1079" t="str">
            <v>UGD-T-MoFPED</v>
          </cell>
          <cell r="C1079" t="str">
            <v>Active</v>
          </cell>
          <cell r="D1079" t="str">
            <v>High Impact Africa 2</v>
          </cell>
          <cell r="E1079" t="str">
            <v>UGA</v>
          </cell>
          <cell r="F1079" t="str">
            <v>Ministry of Finance, Planning and Economic Development of Uganda</v>
          </cell>
        </row>
        <row r="1080">
          <cell r="B1080" t="str">
            <v>UKR-011-G08-H</v>
          </cell>
          <cell r="C1080" t="str">
            <v>Active</v>
          </cell>
          <cell r="D1080" t="str">
            <v>Eastern Europe and Central Asia</v>
          </cell>
          <cell r="E1080" t="str">
            <v>UKR</v>
          </cell>
          <cell r="F1080" t="str">
            <v>International HIV/AIDS Alliance, Ukraine</v>
          </cell>
        </row>
        <row r="1081">
          <cell r="B1081" t="str">
            <v>UKR-011-G09-H</v>
          </cell>
          <cell r="C1081" t="str">
            <v>Active</v>
          </cell>
          <cell r="D1081" t="str">
            <v>Eastern Europe and Central Asia</v>
          </cell>
          <cell r="E1081" t="str">
            <v>UKR</v>
          </cell>
          <cell r="F1081" t="str">
            <v>All-Ukrainian Network of People Living with HIV/AIDS</v>
          </cell>
        </row>
        <row r="1082">
          <cell r="B1082" t="str">
            <v>UKR-011-G10-H</v>
          </cell>
          <cell r="C1082" t="str">
            <v>Active</v>
          </cell>
          <cell r="D1082" t="str">
            <v>Eastern Europe and Central Asia</v>
          </cell>
          <cell r="E1082" t="str">
            <v>UKR</v>
          </cell>
          <cell r="F1082" t="str">
            <v>Ukrainian Center for Socially Dangerous Disease Control of the Ministry of Health of Ukraine</v>
          </cell>
        </row>
        <row r="1083">
          <cell r="B1083" t="str">
            <v>UKR-102-A04-H-00</v>
          </cell>
          <cell r="C1083" t="str">
            <v>Administratively Closed</v>
          </cell>
          <cell r="D1083" t="str">
            <v>Eastern Europe and Central Asia</v>
          </cell>
          <cell r="E1083" t="str">
            <v>UKR</v>
          </cell>
          <cell r="F1083" t="str">
            <v>International HIV/AIDS Alliance, Ukraine</v>
          </cell>
        </row>
        <row r="1084">
          <cell r="B1084" t="str">
            <v>UKR-102-G01-H-00</v>
          </cell>
          <cell r="C1084" t="str">
            <v>Administratively Closed</v>
          </cell>
          <cell r="D1084" t="str">
            <v>Eastern Europe and Central Asia</v>
          </cell>
          <cell r="E1084" t="str">
            <v>UKR</v>
          </cell>
          <cell r="F1084" t="str">
            <v>Ukrainian Fund to Fight HIV Infection and AIDS</v>
          </cell>
        </row>
        <row r="1085">
          <cell r="B1085" t="str">
            <v>UKR-102-G02-H-00</v>
          </cell>
          <cell r="C1085" t="str">
            <v>Administratively Closed</v>
          </cell>
          <cell r="D1085" t="str">
            <v>Eastern Europe and Central Asia</v>
          </cell>
          <cell r="E1085" t="str">
            <v>UKR</v>
          </cell>
          <cell r="F1085" t="str">
            <v>Ukrainian Center for Socially Dangerous Disease Control of the Ministry of Health of Ukraine</v>
          </cell>
        </row>
        <row r="1086">
          <cell r="B1086" t="str">
            <v>UKR-102-G03-H-00</v>
          </cell>
          <cell r="C1086" t="str">
            <v>Administratively Closed</v>
          </cell>
          <cell r="D1086" t="str">
            <v>Eastern Europe and Central Asia</v>
          </cell>
          <cell r="E1086" t="str">
            <v>UKR</v>
          </cell>
          <cell r="F1086" t="str">
            <v>United Nations Development Programme, Ukraine</v>
          </cell>
        </row>
        <row r="1087">
          <cell r="B1087" t="str">
            <v>UKR-102-G04-H-00</v>
          </cell>
          <cell r="C1087" t="str">
            <v>Administratively Closed</v>
          </cell>
          <cell r="D1087" t="str">
            <v>Eastern Europe and Central Asia</v>
          </cell>
          <cell r="E1087" t="str">
            <v>UKR</v>
          </cell>
          <cell r="F1087" t="str">
            <v>International HIV/AIDS Alliance, Ukraine</v>
          </cell>
        </row>
        <row r="1088">
          <cell r="B1088" t="str">
            <v>UKR-607-G05-H</v>
          </cell>
          <cell r="C1088" t="str">
            <v>Financial Closure</v>
          </cell>
          <cell r="D1088" t="str">
            <v>Eastern Europe and Central Asia</v>
          </cell>
          <cell r="E1088" t="str">
            <v>UKR</v>
          </cell>
          <cell r="F1088" t="str">
            <v>International HIV/AIDS Alliance, Ukraine</v>
          </cell>
        </row>
        <row r="1089">
          <cell r="B1089" t="str">
            <v>UKR-607-G06-H</v>
          </cell>
          <cell r="C1089" t="str">
            <v>Financial Closure</v>
          </cell>
          <cell r="D1089" t="str">
            <v>Eastern Europe and Central Asia</v>
          </cell>
          <cell r="E1089" t="str">
            <v>UKR</v>
          </cell>
          <cell r="F1089" t="str">
            <v>All-Ukrainian Network of People Living with HIV/AIDS</v>
          </cell>
        </row>
        <row r="1090">
          <cell r="B1090" t="str">
            <v>UKR-911-G07-T</v>
          </cell>
          <cell r="C1090" t="str">
            <v>Administratively Closed</v>
          </cell>
          <cell r="D1090" t="str">
            <v>Eastern Europe and Central Asia</v>
          </cell>
          <cell r="E1090" t="str">
            <v>UKR</v>
          </cell>
          <cell r="F1090" t="str">
            <v>Foundation for Development of Ukraine</v>
          </cell>
        </row>
        <row r="1091">
          <cell r="B1091" t="str">
            <v>UKR-913-G11-T</v>
          </cell>
          <cell r="C1091" t="str">
            <v>Active</v>
          </cell>
          <cell r="D1091" t="str">
            <v>Eastern Europe and Central Asia</v>
          </cell>
          <cell r="E1091" t="str">
            <v>UKR</v>
          </cell>
          <cell r="F1091" t="str">
            <v>Ukrainian Center for Socially Dangerous Disease Control of the Ministry of Health of Ukraine</v>
          </cell>
        </row>
        <row r="1092">
          <cell r="B1092" t="str">
            <v>UKR-C-AUA</v>
          </cell>
          <cell r="C1092" t="str">
            <v>Active</v>
          </cell>
          <cell r="D1092" t="str">
            <v>Eastern Europe and Central Asia</v>
          </cell>
          <cell r="E1092" t="str">
            <v>UKR</v>
          </cell>
          <cell r="F1092" t="str">
            <v>International HIV/AIDS Alliance, Ukraine</v>
          </cell>
        </row>
        <row r="1093">
          <cell r="B1093" t="str">
            <v>UKR-C-AUN</v>
          </cell>
          <cell r="C1093" t="str">
            <v>Active</v>
          </cell>
          <cell r="D1093" t="str">
            <v>Eastern Europe and Central Asia</v>
          </cell>
          <cell r="E1093" t="str">
            <v>UKR</v>
          </cell>
          <cell r="F1093" t="str">
            <v>All-Ukrainian Network of People Living with HIV/AIDS</v>
          </cell>
        </row>
        <row r="1094">
          <cell r="B1094" t="str">
            <v>UKR-C-UCDC</v>
          </cell>
          <cell r="C1094" t="str">
            <v>Active</v>
          </cell>
          <cell r="D1094" t="str">
            <v>Eastern Europe and Central Asia</v>
          </cell>
          <cell r="E1094" t="str">
            <v>UKR</v>
          </cell>
          <cell r="F1094" t="str">
            <v>Ukrainian Center for Socially Dangerous Disease Control of the Ministry of Health of Ukraine</v>
          </cell>
        </row>
        <row r="1095">
          <cell r="B1095" t="str">
            <v>URY-011-G01-H</v>
          </cell>
          <cell r="C1095" t="str">
            <v>Administratively Closed</v>
          </cell>
          <cell r="D1095" t="str">
            <v>Latin America and Caribbean</v>
          </cell>
          <cell r="E1095" t="str">
            <v>URY</v>
          </cell>
          <cell r="F1095" t="str">
            <v>Agencia Nacional de Investigación e Innovación</v>
          </cell>
        </row>
        <row r="1096">
          <cell r="B1096" t="str">
            <v>URY-011-G02-H</v>
          </cell>
          <cell r="C1096" t="str">
            <v>Financial Closure</v>
          </cell>
          <cell r="D1096" t="str">
            <v>Latin America and Caribbean</v>
          </cell>
          <cell r="E1096" t="str">
            <v>URY</v>
          </cell>
          <cell r="F1096" t="str">
            <v>Ministry of Public Health, Uruguay</v>
          </cell>
        </row>
        <row r="1097">
          <cell r="B1097" t="str">
            <v>UZB-304-G01-H</v>
          </cell>
          <cell r="C1097" t="str">
            <v>Administratively Closed</v>
          </cell>
          <cell r="D1097" t="str">
            <v>Eastern Europe and Central Asia</v>
          </cell>
          <cell r="E1097" t="str">
            <v>UZB</v>
          </cell>
          <cell r="F1097" t="str">
            <v>National AIDS Center, Ministry of Health of Uzbekistan</v>
          </cell>
        </row>
        <row r="1098">
          <cell r="B1098" t="str">
            <v>UZB-311-G06-H</v>
          </cell>
          <cell r="C1098" t="str">
            <v>Administratively Closed</v>
          </cell>
          <cell r="D1098" t="str">
            <v>Eastern Europe and Central Asia</v>
          </cell>
          <cell r="E1098" t="str">
            <v>UZB</v>
          </cell>
          <cell r="F1098" t="str">
            <v>United Nations Development Programme, Uzbekistan</v>
          </cell>
        </row>
        <row r="1099">
          <cell r="B1099" t="str">
            <v>UZB-405-G02-M</v>
          </cell>
          <cell r="C1099" t="str">
            <v>Administratively Closed</v>
          </cell>
          <cell r="D1099" t="str">
            <v>Eastern Europe and Central Asia</v>
          </cell>
          <cell r="E1099" t="str">
            <v>UZB</v>
          </cell>
          <cell r="F1099" t="str">
            <v>Republican Center of State Sanitary Epidemiological Surveillance, Uzbekistan</v>
          </cell>
        </row>
        <row r="1100">
          <cell r="B1100" t="str">
            <v>UZB-405-G03-T</v>
          </cell>
          <cell r="C1100" t="str">
            <v>Administratively Closed</v>
          </cell>
          <cell r="D1100" t="str">
            <v>Eastern Europe and Central Asia</v>
          </cell>
          <cell r="E1100" t="str">
            <v>UZB</v>
          </cell>
          <cell r="F1100" t="str">
            <v>Republican DOTS Center, Uzbekistan</v>
          </cell>
        </row>
        <row r="1101">
          <cell r="B1101" t="str">
            <v>UZB-809-G04-M</v>
          </cell>
          <cell r="C1101" t="str">
            <v>Active</v>
          </cell>
          <cell r="D1101" t="str">
            <v>Eastern Europe and Central Asia</v>
          </cell>
          <cell r="E1101" t="str">
            <v>UZB</v>
          </cell>
          <cell r="F1101" t="str">
            <v>Republican Center of State Sanitary Epidemiological Surveillance, Uzbekistan</v>
          </cell>
        </row>
        <row r="1102">
          <cell r="B1102" t="str">
            <v>UZB-809-G05-T</v>
          </cell>
          <cell r="C1102" t="str">
            <v>Active</v>
          </cell>
          <cell r="D1102" t="str">
            <v>Eastern Europe and Central Asia</v>
          </cell>
          <cell r="E1102" t="str">
            <v>UZB</v>
          </cell>
          <cell r="F1102" t="str">
            <v>Republican DOTS Center, Uzbekistan</v>
          </cell>
        </row>
        <row r="1103">
          <cell r="B1103" t="str">
            <v>UZB-H-UNDP</v>
          </cell>
          <cell r="C1103" t="str">
            <v>Active</v>
          </cell>
          <cell r="D1103" t="str">
            <v>Eastern Europe and Central Asia</v>
          </cell>
          <cell r="E1103" t="str">
            <v>UZB</v>
          </cell>
          <cell r="F1103" t="str">
            <v>United Nations Development Programme, Uzbekistan</v>
          </cell>
        </row>
        <row r="1104">
          <cell r="B1104" t="str">
            <v>VTN-011-G10-S</v>
          </cell>
          <cell r="C1104" t="str">
            <v>Active</v>
          </cell>
          <cell r="D1104" t="str">
            <v>High Impact Asia</v>
          </cell>
          <cell r="E1104" t="str">
            <v>VNM</v>
          </cell>
          <cell r="F1104" t="str">
            <v>Department of Planning and Finance, Ministry of Health of Viet Nam</v>
          </cell>
        </row>
        <row r="1105">
          <cell r="B1105" t="str">
            <v>VTN-102-G01-H-00</v>
          </cell>
          <cell r="C1105" t="str">
            <v>Administratively Closed</v>
          </cell>
          <cell r="D1105" t="str">
            <v>High Impact Asia</v>
          </cell>
          <cell r="E1105" t="str">
            <v>VNM</v>
          </cell>
          <cell r="F1105" t="str">
            <v>Viet Nam Administration of HIV/AIDS Control, Ministry of Health of Viet Nam</v>
          </cell>
        </row>
        <row r="1106">
          <cell r="B1106" t="str">
            <v>VTN-102-G02-T-00</v>
          </cell>
          <cell r="C1106" t="str">
            <v>Administratively Closed</v>
          </cell>
          <cell r="D1106" t="str">
            <v>High Impact Asia</v>
          </cell>
          <cell r="E1106" t="str">
            <v>VNM</v>
          </cell>
          <cell r="F1106" t="str">
            <v>National Lung Hospital, Ministry of Health of Viet Nam</v>
          </cell>
        </row>
        <row r="1107">
          <cell r="B1107" t="str">
            <v>VTN-304-G03-M</v>
          </cell>
          <cell r="C1107" t="str">
            <v>Administratively Closed</v>
          </cell>
          <cell r="D1107" t="str">
            <v>High Impact Asia</v>
          </cell>
          <cell r="E1107" t="str">
            <v>VNM</v>
          </cell>
          <cell r="F1107" t="str">
            <v>National Institute of Malariology, Parasitology and Entomology, Ministry of Health of Viet Nam</v>
          </cell>
        </row>
        <row r="1108">
          <cell r="B1108" t="str">
            <v>VTN-607-G04-H</v>
          </cell>
          <cell r="C1108" t="str">
            <v>Administratively Closed</v>
          </cell>
          <cell r="D1108" t="str">
            <v>High Impact Asia</v>
          </cell>
          <cell r="E1108" t="str">
            <v>VNM</v>
          </cell>
          <cell r="F1108" t="str">
            <v>Viet Nam Administration of HIV/AIDS Control, Ministry of Health of Viet Nam</v>
          </cell>
        </row>
        <row r="1109">
          <cell r="B1109" t="str">
            <v>VTN-607-G05-T</v>
          </cell>
          <cell r="C1109" t="str">
            <v>Financially Closed</v>
          </cell>
          <cell r="D1109" t="str">
            <v>High Impact Asia</v>
          </cell>
          <cell r="E1109" t="str">
            <v>VNM</v>
          </cell>
          <cell r="F1109" t="str">
            <v>National Lung Hospital, Ministry of Health of Viet Nam</v>
          </cell>
        </row>
        <row r="1110">
          <cell r="B1110" t="str">
            <v>VTN-708-G06-M</v>
          </cell>
          <cell r="C1110" t="str">
            <v>Active</v>
          </cell>
          <cell r="D1110" t="str">
            <v>High Impact Asia</v>
          </cell>
          <cell r="E1110" t="str">
            <v>VNM</v>
          </cell>
          <cell r="F1110" t="str">
            <v>National Institute of Malariology, Parasitology and Entomology, Ministry of Health of Viet Nam</v>
          </cell>
        </row>
        <row r="1111">
          <cell r="B1111" t="str">
            <v>VTN-809-G07-H</v>
          </cell>
          <cell r="C1111" t="str">
            <v>Administratively Closed</v>
          </cell>
          <cell r="D1111" t="str">
            <v>High Impact Asia</v>
          </cell>
          <cell r="E1111" t="str">
            <v>VNM</v>
          </cell>
          <cell r="F1111" t="str">
            <v>Viet Nam Administration of HIV/AIDS Control, Ministry of Health of Viet Nam</v>
          </cell>
        </row>
        <row r="1112">
          <cell r="B1112" t="str">
            <v>VTN-910-G08-T</v>
          </cell>
          <cell r="C1112" t="str">
            <v>Active</v>
          </cell>
          <cell r="D1112" t="str">
            <v>High Impact Asia</v>
          </cell>
          <cell r="E1112" t="str">
            <v>VNM</v>
          </cell>
          <cell r="F1112" t="str">
            <v>National Lung Hospital, Ministry of Health of Viet Nam</v>
          </cell>
        </row>
        <row r="1113">
          <cell r="B1113" t="str">
            <v>VTN-H-MOH</v>
          </cell>
          <cell r="C1113" t="str">
            <v>Active</v>
          </cell>
          <cell r="D1113" t="str">
            <v>High Impact Asia</v>
          </cell>
          <cell r="E1113" t="str">
            <v>VNM</v>
          </cell>
          <cell r="F1113" t="str">
            <v>Viet Nam Administration of HIV/AIDS Control, Ministry of Health of Viet Nam</v>
          </cell>
        </row>
        <row r="1114">
          <cell r="B1114" t="str">
            <v>YEM-202-G01-M-00</v>
          </cell>
          <cell r="C1114" t="str">
            <v>Financially Closed</v>
          </cell>
          <cell r="D1114" t="str">
            <v>Middle East and North Africa</v>
          </cell>
          <cell r="E1114" t="str">
            <v>YEM</v>
          </cell>
          <cell r="F1114" t="str">
            <v>Yemen Ministry of Public Health and Population - National Malaria Programme</v>
          </cell>
        </row>
        <row r="1115">
          <cell r="B1115" t="str">
            <v>YEM-305-G02-H</v>
          </cell>
          <cell r="C1115" t="str">
            <v>Financial Closure</v>
          </cell>
          <cell r="D1115" t="str">
            <v>Middle East and North Africa</v>
          </cell>
          <cell r="E1115" t="str">
            <v>YEM</v>
          </cell>
          <cell r="F1115" t="str">
            <v>Yemen Ministry of Public Health and Population - National AIDS Program</v>
          </cell>
        </row>
        <row r="1116">
          <cell r="B1116" t="str">
            <v>YEM-305-G03-H</v>
          </cell>
          <cell r="C1116" t="str">
            <v>Administratively Closed</v>
          </cell>
          <cell r="D1116" t="str">
            <v>Middle East and North Africa</v>
          </cell>
          <cell r="E1116" t="str">
            <v>YEM</v>
          </cell>
          <cell r="F1116" t="str">
            <v>Technical Secretariat of National Population Council</v>
          </cell>
        </row>
        <row r="1117">
          <cell r="B1117" t="str">
            <v>YEM-307-G05-H</v>
          </cell>
          <cell r="C1117" t="str">
            <v>Financial Closure</v>
          </cell>
          <cell r="D1117" t="str">
            <v>Middle East and North Africa</v>
          </cell>
          <cell r="E1117" t="str">
            <v>YEM</v>
          </cell>
          <cell r="F1117" t="str">
            <v>United Nations Development Programme, Yemen</v>
          </cell>
        </row>
        <row r="1118">
          <cell r="B1118" t="str">
            <v>YEM-405-G04-T</v>
          </cell>
          <cell r="C1118" t="str">
            <v>Financial Closure</v>
          </cell>
          <cell r="D1118" t="str">
            <v>Middle East and North Africa</v>
          </cell>
          <cell r="E1118" t="str">
            <v>YEM</v>
          </cell>
          <cell r="F1118" t="str">
            <v>Yemen Ministry of Public Health and Population - National Tuberculosis Program</v>
          </cell>
        </row>
        <row r="1119">
          <cell r="B1119" t="str">
            <v>YEM-708-G06-M</v>
          </cell>
          <cell r="C1119" t="str">
            <v>Active</v>
          </cell>
          <cell r="D1119" t="str">
            <v>Middle East and North Africa</v>
          </cell>
          <cell r="E1119" t="str">
            <v>YEM</v>
          </cell>
          <cell r="F1119" t="str">
            <v>Yemen Ministry of Public Health and Population - National Malaria Programme</v>
          </cell>
        </row>
        <row r="1120">
          <cell r="B1120" t="str">
            <v>YEM-911-G07-T</v>
          </cell>
          <cell r="C1120" t="str">
            <v>Active</v>
          </cell>
          <cell r="D1120" t="str">
            <v>Middle East and North Africa</v>
          </cell>
          <cell r="E1120" t="str">
            <v>YEM</v>
          </cell>
          <cell r="F1120" t="str">
            <v>Yemen Ministry of Public Health and Population - National Tuberculosis Program</v>
          </cell>
        </row>
        <row r="1121">
          <cell r="B1121" t="str">
            <v>YEM-M-NMCP</v>
          </cell>
          <cell r="C1121" t="str">
            <v>N.D.</v>
          </cell>
          <cell r="D1121" t="str">
            <v>Middle East and North Africa</v>
          </cell>
          <cell r="E1121" t="str">
            <v>YEM</v>
          </cell>
          <cell r="F1121" t="str">
            <v>Not Defined</v>
          </cell>
        </row>
        <row r="1122">
          <cell r="B1122" t="str">
            <v>YEM-T12-G08-H</v>
          </cell>
          <cell r="C1122" t="str">
            <v>Active</v>
          </cell>
          <cell r="D1122" t="str">
            <v>Middle East and North Africa</v>
          </cell>
          <cell r="E1122" t="str">
            <v>YEM</v>
          </cell>
          <cell r="F1122" t="str">
            <v>Yemen Ministry of Public Health and Population - National AIDS Program</v>
          </cell>
        </row>
        <row r="1123">
          <cell r="B1123" t="str">
            <v>ZAM-011-G29-H</v>
          </cell>
          <cell r="C1123" t="str">
            <v>Administratively Closed</v>
          </cell>
          <cell r="D1123" t="str">
            <v>High Impact Africa 2</v>
          </cell>
          <cell r="E1123" t="str">
            <v>ZMB</v>
          </cell>
          <cell r="F1123" t="str">
            <v>United Nations Development Programme, Zambia</v>
          </cell>
        </row>
        <row r="1124">
          <cell r="B1124" t="str">
            <v>ZAM-011-G30-H</v>
          </cell>
          <cell r="C1124" t="str">
            <v>Administratively Closed</v>
          </cell>
          <cell r="D1124" t="str">
            <v>High Impact Africa 2</v>
          </cell>
          <cell r="E1124" t="str">
            <v>ZMB</v>
          </cell>
          <cell r="F1124" t="str">
            <v>Churches Health Association of Zambia</v>
          </cell>
        </row>
        <row r="1125">
          <cell r="B1125" t="str">
            <v>ZAM-102-G01-H-00</v>
          </cell>
          <cell r="C1125" t="str">
            <v>Administratively Closed</v>
          </cell>
          <cell r="D1125" t="str">
            <v>High Impact Africa 2</v>
          </cell>
          <cell r="E1125" t="str">
            <v>ZMB</v>
          </cell>
          <cell r="F1125" t="str">
            <v>Ministry of Health of Zambia</v>
          </cell>
        </row>
        <row r="1126">
          <cell r="B1126" t="str">
            <v>ZAM-102-G02-M-00</v>
          </cell>
          <cell r="C1126" t="str">
            <v>Administratively Closed</v>
          </cell>
          <cell r="D1126" t="str">
            <v>High Impact Africa 2</v>
          </cell>
          <cell r="E1126" t="str">
            <v>ZMB</v>
          </cell>
          <cell r="F1126" t="str">
            <v>Ministry of Health of Zambia</v>
          </cell>
        </row>
        <row r="1127">
          <cell r="B1127" t="str">
            <v>ZAM-102-G03-T-00</v>
          </cell>
          <cell r="C1127" t="str">
            <v>Administratively Closed</v>
          </cell>
          <cell r="D1127" t="str">
            <v>High Impact Africa 2</v>
          </cell>
          <cell r="E1127" t="str">
            <v>ZMB</v>
          </cell>
          <cell r="F1127" t="str">
            <v>Ministry of Health of Zambia</v>
          </cell>
        </row>
        <row r="1128">
          <cell r="B1128" t="str">
            <v>ZAM-102-G04-H-00</v>
          </cell>
          <cell r="C1128" t="str">
            <v>Administratively Closed</v>
          </cell>
          <cell r="D1128" t="str">
            <v>High Impact Africa 2</v>
          </cell>
          <cell r="E1128" t="str">
            <v>ZMB</v>
          </cell>
          <cell r="F1128" t="str">
            <v>Churches Health Association of Zambia</v>
          </cell>
        </row>
        <row r="1129">
          <cell r="B1129" t="str">
            <v>ZAM-102-G05-M-00</v>
          </cell>
          <cell r="C1129" t="str">
            <v>Administratively Closed</v>
          </cell>
          <cell r="D1129" t="str">
            <v>High Impact Africa 2</v>
          </cell>
          <cell r="E1129" t="str">
            <v>ZMB</v>
          </cell>
          <cell r="F1129" t="str">
            <v>Churches Health Association of Zambia</v>
          </cell>
        </row>
        <row r="1130">
          <cell r="B1130" t="str">
            <v>ZAM-102-G06-T-00</v>
          </cell>
          <cell r="C1130" t="str">
            <v>Administratively Closed</v>
          </cell>
          <cell r="D1130" t="str">
            <v>High Impact Africa 2</v>
          </cell>
          <cell r="E1130" t="str">
            <v>ZMB</v>
          </cell>
          <cell r="F1130" t="str">
            <v>Churches Health Association of Zambia</v>
          </cell>
        </row>
        <row r="1131">
          <cell r="B1131" t="str">
            <v>ZAM-102-G07-H-00</v>
          </cell>
          <cell r="C1131" t="str">
            <v>Administratively Closed</v>
          </cell>
          <cell r="D1131" t="str">
            <v>High Impact Africa 2</v>
          </cell>
          <cell r="E1131" t="str">
            <v>ZMB</v>
          </cell>
          <cell r="F1131" t="str">
            <v>Ministry of Finance and National Planning of Zambia</v>
          </cell>
        </row>
        <row r="1132">
          <cell r="B1132" t="str">
            <v>ZAM-102-G08-H-00</v>
          </cell>
          <cell r="C1132" t="str">
            <v>Administratively Closed</v>
          </cell>
          <cell r="D1132" t="str">
            <v>High Impact Africa 2</v>
          </cell>
          <cell r="E1132" t="str">
            <v>ZMB</v>
          </cell>
          <cell r="F1132" t="str">
            <v>Zambia National AIDS Network</v>
          </cell>
        </row>
        <row r="1133">
          <cell r="B1133" t="str">
            <v>ZAM-102-G15-T-00</v>
          </cell>
          <cell r="C1133" t="str">
            <v>Administratively Closed</v>
          </cell>
          <cell r="D1133" t="str">
            <v>High Impact Africa 2</v>
          </cell>
          <cell r="E1133" t="str">
            <v>ZMB</v>
          </cell>
          <cell r="F1133" t="str">
            <v>Zambia National AIDS Network</v>
          </cell>
        </row>
        <row r="1134">
          <cell r="B1134" t="str">
            <v>ZAM-405-G09-H</v>
          </cell>
          <cell r="C1134" t="str">
            <v>Administratively Closed</v>
          </cell>
          <cell r="D1134" t="str">
            <v>High Impact Africa 2</v>
          </cell>
          <cell r="E1134" t="str">
            <v>ZMB</v>
          </cell>
          <cell r="F1134" t="str">
            <v>Ministry of Health of Zambia</v>
          </cell>
        </row>
        <row r="1135">
          <cell r="B1135" t="str">
            <v>ZAM-405-G10-H</v>
          </cell>
          <cell r="C1135" t="str">
            <v>Administratively Closed</v>
          </cell>
          <cell r="D1135" t="str">
            <v>High Impact Africa 2</v>
          </cell>
          <cell r="E1135" t="str">
            <v>ZMB</v>
          </cell>
          <cell r="F1135" t="str">
            <v>Churches Health Association of Zambia</v>
          </cell>
        </row>
        <row r="1136">
          <cell r="B1136" t="str">
            <v>ZAM-405-G11-H</v>
          </cell>
          <cell r="C1136" t="str">
            <v>Administratively Closed</v>
          </cell>
          <cell r="D1136" t="str">
            <v>High Impact Africa 2</v>
          </cell>
          <cell r="E1136" t="str">
            <v>ZMB</v>
          </cell>
          <cell r="F1136" t="str">
            <v>Zambia National AIDS Network</v>
          </cell>
        </row>
        <row r="1137">
          <cell r="B1137" t="str">
            <v>ZAM-405-G12-H</v>
          </cell>
          <cell r="C1137" t="str">
            <v>Administratively Closed</v>
          </cell>
          <cell r="D1137" t="str">
            <v>High Impact Africa 2</v>
          </cell>
          <cell r="E1137" t="str">
            <v>ZMB</v>
          </cell>
          <cell r="F1137" t="str">
            <v>Ministry of Finance and National Planning of Zambia</v>
          </cell>
        </row>
        <row r="1138">
          <cell r="B1138" t="str">
            <v>ZAM-405-G13-M</v>
          </cell>
          <cell r="C1138" t="str">
            <v>Administratively Closed</v>
          </cell>
          <cell r="D1138" t="str">
            <v>High Impact Africa 2</v>
          </cell>
          <cell r="E1138" t="str">
            <v>ZMB</v>
          </cell>
          <cell r="F1138" t="str">
            <v>Ministry of Health of Zambia</v>
          </cell>
        </row>
        <row r="1139">
          <cell r="B1139" t="str">
            <v>ZAM-405-G14-M</v>
          </cell>
          <cell r="C1139" t="str">
            <v>Administratively Closed</v>
          </cell>
          <cell r="D1139" t="str">
            <v>High Impact Africa 2</v>
          </cell>
          <cell r="E1139" t="str">
            <v>ZMB</v>
          </cell>
          <cell r="F1139" t="str">
            <v>Churches Health Association of Zambia</v>
          </cell>
        </row>
        <row r="1140">
          <cell r="B1140" t="str">
            <v>ZAM-405-G24-H</v>
          </cell>
          <cell r="C1140" t="str">
            <v>Administratively Closed</v>
          </cell>
          <cell r="D1140" t="str">
            <v>High Impact Africa 2</v>
          </cell>
          <cell r="E1140" t="str">
            <v>ZMB</v>
          </cell>
          <cell r="F1140" t="str">
            <v>United Nations Development Programme, Zambia</v>
          </cell>
        </row>
        <row r="1141">
          <cell r="B1141" t="str">
            <v>ZAM-411-G25-M</v>
          </cell>
          <cell r="C1141" t="str">
            <v>Financially Closed</v>
          </cell>
          <cell r="D1141" t="str">
            <v>High Impact Africa 2</v>
          </cell>
          <cell r="E1141" t="str">
            <v>ZMB</v>
          </cell>
          <cell r="F1141" t="str">
            <v>United Nations Development Programme, Zambia</v>
          </cell>
        </row>
        <row r="1142">
          <cell r="B1142" t="str">
            <v>ZAM-708-G16-T</v>
          </cell>
          <cell r="C1142" t="str">
            <v>Administratively Closed</v>
          </cell>
          <cell r="D1142" t="str">
            <v>High Impact Africa 2</v>
          </cell>
          <cell r="E1142" t="str">
            <v>ZMB</v>
          </cell>
          <cell r="F1142" t="str">
            <v>Ministry of Health of Zambia</v>
          </cell>
        </row>
        <row r="1143">
          <cell r="B1143" t="str">
            <v>ZAM-708-G17-M</v>
          </cell>
          <cell r="C1143" t="str">
            <v>Administratively Closed</v>
          </cell>
          <cell r="D1143" t="str">
            <v>High Impact Africa 2</v>
          </cell>
          <cell r="E1143" t="str">
            <v>ZMB</v>
          </cell>
          <cell r="F1143" t="str">
            <v>Ministry of Health of Zambia</v>
          </cell>
        </row>
        <row r="1144">
          <cell r="B1144" t="str">
            <v>ZAM-708-G18-T</v>
          </cell>
          <cell r="C1144" t="str">
            <v>Financial Closure</v>
          </cell>
          <cell r="D1144" t="str">
            <v>High Impact Africa 2</v>
          </cell>
          <cell r="E1144" t="str">
            <v>ZMB</v>
          </cell>
          <cell r="F1144" t="str">
            <v>Churches Health Association of Zambia</v>
          </cell>
        </row>
        <row r="1145">
          <cell r="B1145" t="str">
            <v>ZAM-708-G19-M</v>
          </cell>
          <cell r="C1145" t="str">
            <v>Active</v>
          </cell>
          <cell r="D1145" t="str">
            <v>High Impact Africa 2</v>
          </cell>
          <cell r="E1145" t="str">
            <v>ZMB</v>
          </cell>
          <cell r="F1145" t="str">
            <v>Churches Health Association of Zambia</v>
          </cell>
        </row>
        <row r="1146">
          <cell r="B1146" t="str">
            <v>ZAM-708-G20-T</v>
          </cell>
          <cell r="C1146" t="str">
            <v>Financial Closure</v>
          </cell>
          <cell r="D1146" t="str">
            <v>High Impact Africa 2</v>
          </cell>
          <cell r="E1146" t="str">
            <v>ZMB</v>
          </cell>
          <cell r="F1146" t="str">
            <v>Zambia National AIDS Network</v>
          </cell>
        </row>
        <row r="1147">
          <cell r="B1147" t="str">
            <v>ZAM-711-G26-T</v>
          </cell>
          <cell r="C1147" t="str">
            <v>Active</v>
          </cell>
          <cell r="D1147" t="str">
            <v>High Impact Africa 2</v>
          </cell>
          <cell r="E1147" t="str">
            <v>ZMB</v>
          </cell>
          <cell r="F1147" t="str">
            <v>United Nations Development Programme, Zambia</v>
          </cell>
        </row>
        <row r="1148">
          <cell r="B1148" t="str">
            <v>ZAM-711-G27-M</v>
          </cell>
          <cell r="C1148" t="str">
            <v>Active</v>
          </cell>
          <cell r="D1148" t="str">
            <v>High Impact Africa 2</v>
          </cell>
          <cell r="E1148" t="str">
            <v>ZMB</v>
          </cell>
          <cell r="F1148" t="str">
            <v>United Nations Development Programme, Zambia</v>
          </cell>
        </row>
        <row r="1149">
          <cell r="B1149" t="str">
            <v>ZAM-809-G21-H</v>
          </cell>
          <cell r="C1149" t="str">
            <v>Administratively Closed</v>
          </cell>
          <cell r="D1149" t="str">
            <v>High Impact Africa 2</v>
          </cell>
          <cell r="E1149" t="str">
            <v>ZMB</v>
          </cell>
          <cell r="F1149" t="str">
            <v>Churches Health Association of Zambia</v>
          </cell>
        </row>
        <row r="1150">
          <cell r="B1150" t="str">
            <v>ZAM-809-G22-H</v>
          </cell>
          <cell r="C1150" t="str">
            <v>Administratively Closed</v>
          </cell>
          <cell r="D1150" t="str">
            <v>High Impact Africa 2</v>
          </cell>
          <cell r="E1150" t="str">
            <v>ZMB</v>
          </cell>
          <cell r="F1150" t="str">
            <v>Zambia National AIDS Network</v>
          </cell>
        </row>
        <row r="1151">
          <cell r="B1151" t="str">
            <v>ZAM-809-G23-H</v>
          </cell>
          <cell r="C1151" t="str">
            <v>Administratively Closed</v>
          </cell>
          <cell r="D1151" t="str">
            <v>High Impact Africa 2</v>
          </cell>
          <cell r="E1151" t="str">
            <v>ZMB</v>
          </cell>
          <cell r="F1151" t="str">
            <v>Ministry of Finance and National Planning of Zambia</v>
          </cell>
        </row>
        <row r="1152">
          <cell r="B1152" t="str">
            <v>ZAM-811-G28-H</v>
          </cell>
          <cell r="C1152" t="str">
            <v>Administratively Closed</v>
          </cell>
          <cell r="D1152" t="str">
            <v>High Impact Africa 2</v>
          </cell>
          <cell r="E1152" t="str">
            <v>ZMB</v>
          </cell>
          <cell r="F1152" t="str">
            <v>United Nations Development Programme, Zambia</v>
          </cell>
        </row>
        <row r="1153">
          <cell r="B1153" t="str">
            <v>ZAM-H-CHAZ</v>
          </cell>
          <cell r="C1153" t="str">
            <v>Active</v>
          </cell>
          <cell r="D1153" t="str">
            <v>High Impact Africa 2</v>
          </cell>
          <cell r="E1153" t="str">
            <v>ZMB</v>
          </cell>
          <cell r="F1153" t="str">
            <v>Churches Health Association of Zambia</v>
          </cell>
        </row>
        <row r="1154">
          <cell r="B1154" t="str">
            <v>ZAM-H-UNDP</v>
          </cell>
          <cell r="C1154" t="str">
            <v>Active</v>
          </cell>
          <cell r="D1154" t="str">
            <v>High Impact Africa 2</v>
          </cell>
          <cell r="E1154" t="str">
            <v>ZMB</v>
          </cell>
          <cell r="F1154" t="str">
            <v>United Nations Development Programme, Zambia</v>
          </cell>
        </row>
        <row r="1155">
          <cell r="B1155" t="str">
            <v>ZMB-C-CHAZ</v>
          </cell>
          <cell r="C1155" t="str">
            <v>Active</v>
          </cell>
          <cell r="D1155" t="str">
            <v>High Impact Africa 2</v>
          </cell>
          <cell r="E1155" t="str">
            <v>ZMB</v>
          </cell>
          <cell r="F1155" t="str">
            <v>Churches Health Association of Zambia</v>
          </cell>
        </row>
        <row r="1156">
          <cell r="B1156" t="str">
            <v>ZMB-C-MOH</v>
          </cell>
          <cell r="C1156" t="str">
            <v>Active</v>
          </cell>
          <cell r="D1156" t="str">
            <v>High Impact Africa 2</v>
          </cell>
          <cell r="E1156" t="str">
            <v>ZMB</v>
          </cell>
          <cell r="F1156" t="str">
            <v>Ministry of Health of Zambia</v>
          </cell>
        </row>
        <row r="1157">
          <cell r="B1157" t="str">
            <v>ZMB-M-CHAZ</v>
          </cell>
          <cell r="C1157" t="str">
            <v>Active</v>
          </cell>
          <cell r="D1157" t="str">
            <v>High Impact Africa 2</v>
          </cell>
          <cell r="E1157" t="str">
            <v>ZMB</v>
          </cell>
          <cell r="F1157" t="str">
            <v>Churches Health Association of Zambia</v>
          </cell>
        </row>
        <row r="1158">
          <cell r="B1158" t="str">
            <v>ZMB-M-MOH</v>
          </cell>
          <cell r="C1158" t="str">
            <v>Active</v>
          </cell>
          <cell r="D1158" t="str">
            <v>High Impact Africa 2</v>
          </cell>
          <cell r="E1158" t="str">
            <v>ZMB</v>
          </cell>
          <cell r="F1158" t="str">
            <v>Ministry of Health of Zambia</v>
          </cell>
        </row>
        <row r="1159">
          <cell r="B1159" t="str">
            <v>ZAN-102-G01-M-00</v>
          </cell>
          <cell r="C1159" t="str">
            <v>Administratively Closed</v>
          </cell>
          <cell r="D1159" t="str">
            <v>High Impact Africa 2</v>
          </cell>
          <cell r="E1159" t="str">
            <v>QNB</v>
          </cell>
          <cell r="F1159" t="str">
            <v>Ministry of Health and Social Welfare of Zanzibar</v>
          </cell>
        </row>
        <row r="1160">
          <cell r="B1160" t="str">
            <v>ZAN-202-G02-H-00</v>
          </cell>
          <cell r="C1160" t="str">
            <v>Financial Closure</v>
          </cell>
          <cell r="D1160" t="str">
            <v>High Impact Africa 2</v>
          </cell>
          <cell r="E1160" t="str">
            <v>QNB</v>
          </cell>
          <cell r="F1160" t="str">
            <v>Zanzibar AIDS Commission</v>
          </cell>
        </row>
        <row r="1161">
          <cell r="B1161" t="str">
            <v>ZAN-304-G03-T</v>
          </cell>
          <cell r="C1161" t="str">
            <v>Financial Closure</v>
          </cell>
          <cell r="D1161" t="str">
            <v>High Impact Africa 2</v>
          </cell>
          <cell r="E1161" t="str">
            <v>QNB</v>
          </cell>
          <cell r="F1161" t="str">
            <v>Ministry of Health and Social Welfare of Zanzibar</v>
          </cell>
        </row>
        <row r="1162">
          <cell r="B1162" t="str">
            <v>ZAN-404-G04-M</v>
          </cell>
          <cell r="C1162" t="str">
            <v>Financial Closure</v>
          </cell>
          <cell r="D1162" t="str">
            <v>High Impact Africa 2</v>
          </cell>
          <cell r="E1162" t="str">
            <v>QNB</v>
          </cell>
          <cell r="F1162" t="str">
            <v>Ministry of Health and Social Welfare of Zanzibar</v>
          </cell>
        </row>
        <row r="1163">
          <cell r="B1163" t="str">
            <v>ZAN-607-G05-H</v>
          </cell>
          <cell r="C1163" t="str">
            <v>Financial Closure</v>
          </cell>
          <cell r="D1163" t="str">
            <v>High Impact Africa 2</v>
          </cell>
          <cell r="E1163" t="str">
            <v>QNB</v>
          </cell>
          <cell r="F1163" t="str">
            <v>Ministry of Health and Social Welfare of Zanzibar</v>
          </cell>
        </row>
        <row r="1164">
          <cell r="B1164" t="str">
            <v>ZAN-607-G06-H</v>
          </cell>
          <cell r="C1164" t="str">
            <v>Financial Closure</v>
          </cell>
          <cell r="D1164" t="str">
            <v>High Impact Africa 2</v>
          </cell>
          <cell r="E1164" t="str">
            <v>QNB</v>
          </cell>
          <cell r="F1164" t="str">
            <v>Zanzibar AIDS Commission</v>
          </cell>
        </row>
        <row r="1165">
          <cell r="B1165" t="str">
            <v>ZAN-809-G07-M</v>
          </cell>
          <cell r="C1165" t="str">
            <v>Active</v>
          </cell>
          <cell r="D1165" t="str">
            <v>High Impact Africa 2</v>
          </cell>
          <cell r="E1165" t="str">
            <v>QNB</v>
          </cell>
          <cell r="F1165" t="str">
            <v>Ministry of Health and Social Welfare of Zanzibar</v>
          </cell>
        </row>
        <row r="1166">
          <cell r="B1166" t="str">
            <v>ZAN-T-MOHSW</v>
          </cell>
          <cell r="C1166" t="str">
            <v>Active</v>
          </cell>
          <cell r="D1166" t="str">
            <v>High Impact Africa 2</v>
          </cell>
          <cell r="E1166" t="str">
            <v>QNB</v>
          </cell>
          <cell r="F1166" t="str">
            <v>Ministry of Health and Social Welfare of Zanzibar</v>
          </cell>
        </row>
        <row r="1167">
          <cell r="B1167" t="str">
            <v>ZIM-011-G15-M</v>
          </cell>
          <cell r="C1167" t="str">
            <v>Administratively Closed</v>
          </cell>
          <cell r="D1167" t="str">
            <v>High Impact Africa 2</v>
          </cell>
          <cell r="E1167" t="str">
            <v>ZWE</v>
          </cell>
          <cell r="F1167" t="str">
            <v>United Nations Development Programme, Zimbabwe</v>
          </cell>
        </row>
        <row r="1168">
          <cell r="B1168" t="str">
            <v>ZIM-102-G01-H-00</v>
          </cell>
          <cell r="C1168" t="str">
            <v>Administratively Closed</v>
          </cell>
          <cell r="D1168" t="str">
            <v>High Impact Africa 2</v>
          </cell>
          <cell r="E1168" t="str">
            <v>ZWE</v>
          </cell>
          <cell r="F1168" t="str">
            <v>United Nations Development Programme, Zimbabwe</v>
          </cell>
        </row>
        <row r="1169">
          <cell r="B1169" t="str">
            <v>ZIM-102-G02-M-00</v>
          </cell>
          <cell r="C1169" t="str">
            <v>Administratively Closed</v>
          </cell>
          <cell r="D1169" t="str">
            <v>High Impact Africa 2</v>
          </cell>
          <cell r="E1169" t="str">
            <v>ZWE</v>
          </cell>
          <cell r="F1169" t="str">
            <v>Ministry of Health and Child Care of Zimbabwe</v>
          </cell>
        </row>
        <row r="1170">
          <cell r="B1170" t="str">
            <v>ZIM-102-G07-H</v>
          </cell>
          <cell r="C1170" t="str">
            <v>Administratively Closed</v>
          </cell>
          <cell r="D1170" t="str">
            <v>High Impact Africa 2</v>
          </cell>
          <cell r="E1170" t="str">
            <v>ZWE</v>
          </cell>
          <cell r="F1170" t="str">
            <v>National AIDS Council of Zimbabwe</v>
          </cell>
        </row>
        <row r="1171">
          <cell r="B1171" t="str">
            <v>ZIM-506-G03-H</v>
          </cell>
          <cell r="C1171" t="str">
            <v>Administratively Closed</v>
          </cell>
          <cell r="D1171" t="str">
            <v>High Impact Africa 2</v>
          </cell>
          <cell r="E1171" t="str">
            <v>ZWE</v>
          </cell>
          <cell r="F1171" t="str">
            <v>National AIDS Council of Zimbabwe</v>
          </cell>
        </row>
        <row r="1172">
          <cell r="B1172" t="str">
            <v>ZIM-506-G04-H</v>
          </cell>
          <cell r="C1172" t="str">
            <v>Administratively Closed</v>
          </cell>
          <cell r="D1172" t="str">
            <v>High Impact Africa 2</v>
          </cell>
          <cell r="E1172" t="str">
            <v>ZWE</v>
          </cell>
          <cell r="F1172" t="str">
            <v>Zimbabwe Association of Church Related Hospitals</v>
          </cell>
        </row>
        <row r="1173">
          <cell r="B1173" t="str">
            <v>ZIM-506-G05-T</v>
          </cell>
          <cell r="C1173" t="str">
            <v>Administratively Closed</v>
          </cell>
          <cell r="D1173" t="str">
            <v>High Impact Africa 2</v>
          </cell>
          <cell r="E1173" t="str">
            <v>ZWE</v>
          </cell>
          <cell r="F1173" t="str">
            <v>Zimbabwe Association of Church Related Hospitals</v>
          </cell>
        </row>
        <row r="1174">
          <cell r="B1174" t="str">
            <v>ZIM-506-G06-M</v>
          </cell>
          <cell r="C1174" t="str">
            <v>Financial Closure</v>
          </cell>
          <cell r="D1174" t="str">
            <v>High Impact Africa 2</v>
          </cell>
          <cell r="E1174" t="str">
            <v>ZWE</v>
          </cell>
          <cell r="F1174" t="str">
            <v>Ministry of Health and Child Care of Zimbabwe</v>
          </cell>
        </row>
        <row r="1175">
          <cell r="B1175" t="str">
            <v>ZIM-509-G08-T</v>
          </cell>
          <cell r="C1175" t="str">
            <v>Administratively Closed</v>
          </cell>
          <cell r="D1175" t="str">
            <v>High Impact Africa 2</v>
          </cell>
          <cell r="E1175" t="str">
            <v>ZWE</v>
          </cell>
          <cell r="F1175" t="str">
            <v>United Nations Development Programme, Zimbabwe</v>
          </cell>
        </row>
        <row r="1176">
          <cell r="B1176" t="str">
            <v>ZIM-509-G09-M</v>
          </cell>
          <cell r="C1176" t="str">
            <v>Administratively Closed</v>
          </cell>
          <cell r="D1176" t="str">
            <v>High Impact Africa 2</v>
          </cell>
          <cell r="E1176" t="str">
            <v>ZWE</v>
          </cell>
          <cell r="F1176" t="str">
            <v>United Nations Development Programme, Zimbabwe</v>
          </cell>
        </row>
        <row r="1177">
          <cell r="B1177" t="str">
            <v>ZIM-509-G10-H</v>
          </cell>
          <cell r="C1177" t="str">
            <v>Administratively Closed</v>
          </cell>
          <cell r="D1177" t="str">
            <v>High Impact Africa 2</v>
          </cell>
          <cell r="E1177" t="str">
            <v>ZWE</v>
          </cell>
          <cell r="F1177" t="str">
            <v>United Nations Development Programme, Zimbabwe</v>
          </cell>
        </row>
        <row r="1178">
          <cell r="B1178" t="str">
            <v>ZIM-809-G11-H</v>
          </cell>
          <cell r="C1178" t="str">
            <v>Administratively Closed</v>
          </cell>
          <cell r="D1178" t="str">
            <v>High Impact Africa 2</v>
          </cell>
          <cell r="E1178" t="str">
            <v>ZWE</v>
          </cell>
          <cell r="F1178" t="str">
            <v>United Nations Development Programme, Zimbabwe</v>
          </cell>
        </row>
        <row r="1179">
          <cell r="B1179" t="str">
            <v>ZIM-809-G12-T</v>
          </cell>
          <cell r="C1179" t="str">
            <v>Active</v>
          </cell>
          <cell r="D1179" t="str">
            <v>High Impact Africa 2</v>
          </cell>
          <cell r="E1179" t="str">
            <v>ZWE</v>
          </cell>
          <cell r="F1179" t="str">
            <v>United Nations Development Programme, Zimbabwe</v>
          </cell>
        </row>
        <row r="1180">
          <cell r="B1180" t="str">
            <v>ZIM-809-G13-M</v>
          </cell>
          <cell r="C1180" t="str">
            <v>Administratively Closed</v>
          </cell>
          <cell r="D1180" t="str">
            <v>High Impact Africa 2</v>
          </cell>
          <cell r="E1180" t="str">
            <v>ZWE</v>
          </cell>
          <cell r="F1180" t="str">
            <v>United Nations Development Programme, Zimbabwe</v>
          </cell>
        </row>
        <row r="1181">
          <cell r="B1181" t="str">
            <v>ZIM-809-G14-S</v>
          </cell>
          <cell r="C1181" t="str">
            <v>Active</v>
          </cell>
          <cell r="D1181" t="str">
            <v>High Impact Africa 2</v>
          </cell>
          <cell r="E1181" t="str">
            <v>ZWE</v>
          </cell>
          <cell r="F1181" t="str">
            <v>United Nations Development Programme, Zimbabwe</v>
          </cell>
        </row>
        <row r="1182">
          <cell r="B1182" t="str">
            <v>ZIM-H-UNDP</v>
          </cell>
          <cell r="C1182" t="str">
            <v>Active</v>
          </cell>
          <cell r="D1182" t="str">
            <v>High Impact Africa 2</v>
          </cell>
          <cell r="E1182" t="str">
            <v>ZWE</v>
          </cell>
          <cell r="F1182" t="str">
            <v>United Nations Development Programme, Zimbabwe</v>
          </cell>
        </row>
        <row r="1183">
          <cell r="B1183" t="str">
            <v>ZIM-M-UNDP</v>
          </cell>
          <cell r="C1183" t="str">
            <v>Active</v>
          </cell>
          <cell r="D1183" t="str">
            <v>High Impact Africa 2</v>
          </cell>
          <cell r="E1183" t="str">
            <v>ZWE</v>
          </cell>
          <cell r="F1183" t="str">
            <v>United Nations Development Programme, Zimbabwe</v>
          </cell>
        </row>
        <row r="1184">
          <cell r="B1184" t="str">
            <v>ZWE-M-MOHCC</v>
          </cell>
          <cell r="C1184" t="str">
            <v>Active</v>
          </cell>
          <cell r="D1184" t="str">
            <v>High Impact Africa 2</v>
          </cell>
          <cell r="E1184" t="str">
            <v>ZWE</v>
          </cell>
          <cell r="F1184" t="str">
            <v>Ministry of Health and Child Care of Zimbabwe</v>
          </cell>
        </row>
        <row r="1185">
          <cell r="B1185" t="str">
            <v>ZWE-T-MOHCC</v>
          </cell>
          <cell r="C1185" t="str">
            <v>Active</v>
          </cell>
          <cell r="D1185" t="str">
            <v>High Impact Africa 2</v>
          </cell>
          <cell r="E1185" t="str">
            <v>ZWE</v>
          </cell>
          <cell r="F1185" t="str">
            <v>Ministry of Health and Child Care of Zimbabwe</v>
          </cell>
        </row>
      </sheetData>
      <sheetData sheetId="1">
        <row r="16">
          <cell r="C16">
            <v>232</v>
          </cell>
          <cell r="D16">
            <v>100000</v>
          </cell>
          <cell r="E16">
            <v>100232</v>
          </cell>
          <cell r="F16">
            <v>44787</v>
          </cell>
        </row>
        <row r="17">
          <cell r="F17">
            <v>501</v>
          </cell>
        </row>
        <row r="18">
          <cell r="F18">
            <v>44286</v>
          </cell>
        </row>
        <row r="19">
          <cell r="F19">
            <v>300000</v>
          </cell>
        </row>
      </sheetData>
      <sheetData sheetId="2"/>
      <sheetData sheetId="3"/>
      <sheetData sheetId="4"/>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Impact Outcome Indicators_1A"/>
      <sheetName val="Data"/>
      <sheetName val="ImpactOutcomeDisaggData"/>
      <sheetName val="Disaggregation_1A"/>
      <sheetName val="Impactoutcome"/>
      <sheetName val="Coverage Indicators_1B"/>
      <sheetName val="Coverage Indicators"/>
      <sheetName val="Disaggregation_1B"/>
      <sheetName val="CoverageDisaggregationData"/>
      <sheetName val="WPTM_1C"/>
      <sheetName val="Intervention By Modules old"/>
      <sheetName val="Intervention By Modules"/>
      <sheetName val="Financial Reports"/>
      <sheetName val="Data load in GOS"/>
      <sheetName val="PR Cash Reconciliation"/>
      <sheetName val="PR Cash Information"/>
      <sheetName val="SR_Cash Reconciliation"/>
      <sheetName val="Budget Variance"/>
      <sheetName val="Procurement_3"/>
      <sheetName val="Grant Management_4"/>
      <sheetName val="PR-LFA Evaluation_5"/>
      <sheetName val="LFA_Findings&amp;Recommendations_6"/>
      <sheetName val="Annual Cash Forecast"/>
      <sheetName val="Ad Hoc Cash Forecast"/>
      <sheetName val=" Request and Recommendation_8B"/>
      <sheetName val="Tax Reporting"/>
      <sheetName val="PR Authorization_9A"/>
      <sheetName val="LFA Authorization_9B"/>
      <sheetName val="PR_Disbursement Request_7"/>
      <sheetName val="Modules"/>
      <sheetName val="Sheet3"/>
      <sheetName val="Sheet1"/>
      <sheetName val="Checklist"/>
      <sheetName val="Memo HIV"/>
      <sheetName val="Memo TB"/>
      <sheetName val="Memo Malaria"/>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2">
          <cell r="C12" t="str">
            <v>Civil Society - Community Based Organization</v>
          </cell>
        </row>
        <row r="13">
          <cell r="C13" t="str">
            <v>Civil Society - International Faith Based Organization</v>
          </cell>
        </row>
        <row r="14">
          <cell r="C14" t="str">
            <v>Civil Society - International Non-Governmental Organization</v>
          </cell>
        </row>
        <row r="15">
          <cell r="C15" t="str">
            <v>Civil Society - Local Faith Based Organization</v>
          </cell>
        </row>
        <row r="16">
          <cell r="C16" t="str">
            <v>Civil Society - Local Non-Governmental Organization</v>
          </cell>
        </row>
        <row r="17">
          <cell r="C17" t="str">
            <v>Civil Society - Other</v>
          </cell>
        </row>
        <row r="18">
          <cell r="C18" t="str">
            <v>Government - Ministry of Health</v>
          </cell>
        </row>
        <row r="19">
          <cell r="C19" t="str">
            <v>Government - Ministry of Finance</v>
          </cell>
        </row>
        <row r="20">
          <cell r="C20" t="str">
            <v>Government - Other</v>
          </cell>
        </row>
        <row r="21">
          <cell r="C21" t="str">
            <v>Multilateral - UNDP</v>
          </cell>
        </row>
        <row r="22">
          <cell r="C22" t="str">
            <v>Multilateral - Other UN agency</v>
          </cell>
        </row>
        <row r="23">
          <cell r="C23" t="str">
            <v>Multilateral - Other</v>
          </cell>
        </row>
        <row r="24">
          <cell r="C24" t="str">
            <v>Private Sector</v>
          </cell>
        </row>
        <row r="25">
          <cell r="C25" t="str">
            <v>Other</v>
          </cell>
        </row>
      </sheetData>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GF"/>
      <sheetName val="Definitions"/>
      <sheetName val="CoverageDisaggregationData"/>
      <sheetName val="Data"/>
      <sheetName val="Indicateurs Couverture_1B"/>
      <sheetName val="EFR Data"/>
      <sheetName val="Indicateurs Impact Effet_1A"/>
      <sheetName val="ImpactOutcomeDisaggData"/>
      <sheetName val="Intervention By Module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CatFiscalCycle"/>
      <sheetName val="CatTerritory"/>
      <sheetName val="CatRecipient"/>
      <sheetName val="IndDisaggrGrpInImpact"/>
      <sheetName val="IndDisaggrGrpInOutcome"/>
      <sheetName val="IndDisaggrGrpInCov"/>
      <sheetName val="CovAggrDataTypeInCov"/>
      <sheetName val="ModInCmp"/>
      <sheetName val="ImpactInCmp"/>
      <sheetName val="OutcomeInCmp"/>
      <sheetName val="DataSrcInCmp"/>
      <sheetName val="CatCmp"/>
      <sheetName val="CatModules"/>
      <sheetName val="CatInt"/>
      <sheetName val="CatImpact"/>
      <sheetName val="CatOutcome"/>
      <sheetName val="CatCoverage"/>
      <sheetName val="CatDataSrc"/>
      <sheetName val="CatIndDisaggrGrp"/>
      <sheetName val="CatIndDisaggrGrpValues"/>
      <sheetName val="CatCovAggrDataType"/>
      <sheetName val="CatCovGeoArea"/>
      <sheetName val="CatWPTM-Score"/>
      <sheetName val="CoverageDisaggregationData"/>
      <sheetName val="Data"/>
      <sheetName val="Indicateurs Couverture_1B"/>
      <sheetName val="Intervention By Modules"/>
      <sheetName val="EFR Data"/>
      <sheetName val="Indicateurs Impact Effet_1A"/>
      <sheetName val="ImpactOutcomeDisaggData"/>
      <sheetName val="Coverage Indicators"/>
      <sheetName val="LFA_ImpactOutcome Indicators_1A"/>
      <sheetName val="Definitions-lists-EFR"/>
      <sheetName val="Memo Malaria"/>
      <sheetName val="PR_Programmatic Progress_1A"/>
      <sheetName val="PR_Total PR Cash Outflow_3A"/>
    </sheetNames>
    <sheetDataSet>
      <sheetData sheetId="0" refreshError="1">
        <row r="1">
          <cell r="D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ables/table1.xml><?xml version="1.0" encoding="utf-8"?>
<table xmlns="http://schemas.openxmlformats.org/spreadsheetml/2006/main" id="1" name="Module" displayName="Module" ref="B11:K24" totalsRowShown="0" headerRowDxfId="74" tableBorderDxfId="73">
  <autoFilter ref="B11:K24"/>
  <tableColumns count="10">
    <tableColumn id="1" name="Module Name" dataDxfId="72"/>
    <tableColumn id="2" name="Column1"/>
    <tableColumn id="3" name="Module-Coverage-Intervention Reference (Name)"/>
    <tableColumn id="4" name="Column2"/>
    <tableColumn id="5" name="Column3"/>
    <tableColumn id="6" name="Column4"/>
    <tableColumn id="7" name="Column5"/>
    <tableColumn id="8" name="unique id">
      <calculatedColumnFormula array="1">IFERROR(INDEX($D$12:$D$25, MATCH(0, COUNTIF($I$11:I11, $D$12:$D$25&amp;"") + IF($D$12:$D$25="",1,0), 0)), "")</calculatedColumnFormula>
    </tableColumn>
    <tableColumn id="9" name="unique name list">
      <calculatedColumnFormula array="1">IFERROR(IF(INDEX($B$12:$B$25,MATCH(LEFT(I12,255),LEFT($D$12:$D$25,255),0))=0,"",INDEX($B$12:$B$25,MATCH(LEFT(I12,255),LEFT($D$12:$D$25,255),0))),"")</calculatedColumnFormula>
    </tableColumn>
    <tableColumn id="10" name="Record ID"/>
  </tableColumns>
  <tableStyleInfo name="TableStyleMedium9" showFirstColumn="0" showLastColumn="0" showRowStripes="1" showColumnStripes="0"/>
</table>
</file>

<file path=xl/tables/table2.xml><?xml version="1.0" encoding="utf-8"?>
<table xmlns="http://schemas.openxmlformats.org/spreadsheetml/2006/main" id="2" name="InterventionList" displayName="InterventionList" ref="B29:L93" totalsRowShown="0">
  <autoFilter ref="B29:L93"/>
  <tableColumns count="11">
    <tableColumn id="1" name="Module" dataDxfId="71"/>
    <tableColumn id="2" name="Column1" dataDxfId="70"/>
    <tableColumn id="3" name="Name ID" dataDxfId="69"/>
    <tableColumn id="4" name="Name" dataDxfId="68"/>
    <tableColumn id="5" name="Column2" dataDxfId="67"/>
    <tableColumn id="6" name="Column5" dataDxfId="66"/>
    <tableColumn id="7" name="Column6" dataDxfId="65"/>
    <tableColumn id="8" name="Column4" dataDxfId="64"/>
    <tableColumn id="9" name="Column3" dataDxfId="63"/>
    <tableColumn id="10" name="Record ID" dataDxfId="62"/>
    <tableColumn id="11" name="Column8" dataDxfId="6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4.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O49"/>
  <sheetViews>
    <sheetView tabSelected="1" view="pageBreakPreview" zoomScale="70" zoomScaleNormal="75" zoomScaleSheetLayoutView="70" workbookViewId="0">
      <selection activeCell="D10" sqref="D10"/>
    </sheetView>
  </sheetViews>
  <sheetFormatPr defaultColWidth="9.140625" defaultRowHeight="12.75" x14ac:dyDescent="0.2"/>
  <cols>
    <col min="1" max="1" width="6.140625" style="101" customWidth="1"/>
    <col min="2" max="2" width="1.140625" style="101" customWidth="1"/>
    <col min="3" max="3" width="49.85546875" style="101" customWidth="1"/>
    <col min="4" max="4" width="70.5703125" style="101" customWidth="1"/>
    <col min="5" max="7" width="9.140625" style="101"/>
    <col min="8" max="8" width="42.140625" style="101" customWidth="1"/>
    <col min="9" max="9" width="23.85546875" style="101" customWidth="1"/>
    <col min="10" max="10" width="20.85546875" style="101" customWidth="1"/>
    <col min="11" max="11" width="12.140625" style="101" bestFit="1" customWidth="1"/>
    <col min="12" max="12" width="21.85546875" style="101" customWidth="1"/>
    <col min="13" max="16384" width="9.140625" style="101"/>
  </cols>
  <sheetData>
    <row r="1" spans="1:15" ht="48" customHeight="1" x14ac:dyDescent="0.2">
      <c r="A1" s="1360" t="str">
        <f>IF(CoverSheet!J12="N/A","Progress Report","Progress Report with Disbursement Request")</f>
        <v>Progress Report with Disbursement Request</v>
      </c>
      <c r="B1" s="1360"/>
      <c r="C1" s="1360"/>
      <c r="D1" s="1360"/>
      <c r="E1" s="1360"/>
      <c r="F1" s="1360"/>
      <c r="G1" s="1360"/>
      <c r="H1" s="1360"/>
      <c r="I1" s="1360"/>
      <c r="J1" s="1360"/>
      <c r="K1" s="1360"/>
      <c r="L1" s="1360"/>
      <c r="M1" s="1361"/>
      <c r="N1" s="1361"/>
      <c r="O1" s="1361"/>
    </row>
    <row r="2" spans="1:15" ht="135" customHeight="1" x14ac:dyDescent="0.2">
      <c r="A2" s="1362" t="s">
        <v>546</v>
      </c>
      <c r="B2" s="1363"/>
      <c r="C2" s="1363"/>
      <c r="D2" s="1363"/>
      <c r="E2" s="1363"/>
      <c r="F2" s="1363"/>
      <c r="G2" s="1363"/>
      <c r="H2" s="1363"/>
      <c r="I2" s="1363"/>
      <c r="J2" s="1363"/>
      <c r="K2" s="1363"/>
      <c r="L2" s="1363"/>
      <c r="M2" s="1363"/>
      <c r="N2" s="1363"/>
      <c r="O2" s="1364"/>
    </row>
    <row r="3" spans="1:15" ht="96.75" customHeight="1" x14ac:dyDescent="0.2">
      <c r="A3" s="1365"/>
      <c r="B3" s="1366"/>
      <c r="C3" s="1366"/>
      <c r="D3" s="1366"/>
      <c r="E3" s="1366"/>
      <c r="F3" s="1366"/>
      <c r="G3" s="1366"/>
      <c r="H3" s="1366"/>
      <c r="I3" s="1366"/>
      <c r="J3" s="1366"/>
      <c r="K3" s="1366"/>
      <c r="L3" s="1366"/>
      <c r="M3" s="1366"/>
      <c r="N3" s="1366"/>
      <c r="O3" s="1367"/>
    </row>
    <row r="4" spans="1:15" ht="32.25" customHeight="1" x14ac:dyDescent="0.2">
      <c r="A4" s="106" t="s">
        <v>25</v>
      </c>
      <c r="B4" s="373"/>
      <c r="C4" s="7"/>
      <c r="D4" s="374"/>
      <c r="E4" s="122"/>
      <c r="F4" s="122"/>
      <c r="G4" s="122"/>
      <c r="H4" s="122"/>
      <c r="I4" s="122"/>
      <c r="J4" s="122"/>
      <c r="K4" s="122"/>
      <c r="L4" s="122"/>
    </row>
    <row r="5" spans="1:15" ht="15" x14ac:dyDescent="0.2">
      <c r="A5" s="1357" t="s">
        <v>18</v>
      </c>
      <c r="B5" s="1358"/>
      <c r="C5" s="1359"/>
      <c r="D5" s="1165" t="s">
        <v>963</v>
      </c>
      <c r="E5" s="375"/>
      <c r="F5" s="376" t="s">
        <v>251</v>
      </c>
      <c r="G5" s="377"/>
      <c r="H5" s="378"/>
      <c r="I5" s="378"/>
      <c r="J5" s="378"/>
      <c r="K5" s="378"/>
      <c r="L5" s="379"/>
    </row>
    <row r="6" spans="1:15" ht="14.25" x14ac:dyDescent="0.2">
      <c r="A6" s="1357" t="s">
        <v>148</v>
      </c>
      <c r="B6" s="1358"/>
      <c r="C6" s="1359"/>
      <c r="D6" s="1165" t="s">
        <v>965</v>
      </c>
      <c r="E6" s="375"/>
      <c r="F6" s="345" t="s">
        <v>528</v>
      </c>
      <c r="G6" s="345"/>
      <c r="H6" s="345"/>
      <c r="I6" s="345" t="s">
        <v>39</v>
      </c>
      <c r="J6" s="433">
        <v>42736</v>
      </c>
      <c r="K6" s="344" t="s">
        <v>47</v>
      </c>
      <c r="L6" s="433">
        <v>43100</v>
      </c>
    </row>
    <row r="7" spans="1:15" ht="14.25" x14ac:dyDescent="0.2">
      <c r="A7" s="1357" t="s">
        <v>195</v>
      </c>
      <c r="B7" s="1358"/>
      <c r="C7" s="1359"/>
      <c r="D7" s="1168" t="s">
        <v>958</v>
      </c>
      <c r="E7" s="375"/>
      <c r="F7" s="333"/>
      <c r="G7" s="333"/>
      <c r="H7" s="333"/>
      <c r="I7" s="333"/>
      <c r="J7" s="380"/>
      <c r="K7" s="121"/>
      <c r="L7" s="380"/>
    </row>
    <row r="8" spans="1:15" ht="15" x14ac:dyDescent="0.2">
      <c r="A8" s="1357" t="s">
        <v>37</v>
      </c>
      <c r="B8" s="1358"/>
      <c r="C8" s="1359"/>
      <c r="D8" s="1166" t="s">
        <v>964</v>
      </c>
      <c r="E8" s="375"/>
      <c r="F8" s="1368" t="s">
        <v>252</v>
      </c>
      <c r="G8" s="1369"/>
      <c r="H8" s="1369"/>
      <c r="I8" s="1369"/>
      <c r="J8" s="1369"/>
      <c r="K8" s="1369"/>
      <c r="L8" s="1370"/>
    </row>
    <row r="9" spans="1:15" ht="14.25" x14ac:dyDescent="0.2">
      <c r="A9" s="1357" t="s">
        <v>231</v>
      </c>
      <c r="B9" s="1358"/>
      <c r="C9" s="1359"/>
      <c r="D9" s="1167" t="s">
        <v>1620</v>
      </c>
      <c r="E9" s="375"/>
      <c r="F9" s="345" t="s">
        <v>529</v>
      </c>
      <c r="G9" s="345"/>
      <c r="H9" s="345"/>
      <c r="I9" s="345" t="s">
        <v>39</v>
      </c>
      <c r="J9" s="433">
        <f>IF(I23="","N/A", I23)</f>
        <v>42736</v>
      </c>
      <c r="K9" s="344" t="s">
        <v>47</v>
      </c>
      <c r="L9" s="433">
        <f>IF(I23="","N/A",L6)</f>
        <v>43100</v>
      </c>
    </row>
    <row r="10" spans="1:15" ht="14.25" x14ac:dyDescent="0.2">
      <c r="A10" s="1357" t="s">
        <v>51</v>
      </c>
      <c r="B10" s="1358"/>
      <c r="C10" s="1359"/>
      <c r="D10" s="433">
        <v>42736</v>
      </c>
      <c r="E10" s="375"/>
      <c r="F10" s="122"/>
      <c r="G10" s="122"/>
      <c r="H10" s="122"/>
      <c r="I10" s="122"/>
      <c r="J10" s="122"/>
      <c r="K10" s="122"/>
      <c r="L10" s="122"/>
    </row>
    <row r="11" spans="1:15" ht="15" x14ac:dyDescent="0.2">
      <c r="A11" s="1357" t="s">
        <v>250</v>
      </c>
      <c r="B11" s="1358"/>
      <c r="C11" s="1359"/>
      <c r="D11" s="1166" t="s">
        <v>622</v>
      </c>
      <c r="E11" s="375"/>
      <c r="F11" s="376" t="s">
        <v>36</v>
      </c>
      <c r="G11" s="377"/>
      <c r="H11" s="378"/>
      <c r="I11" s="378"/>
      <c r="J11" s="378"/>
      <c r="K11" s="378"/>
      <c r="L11" s="379"/>
    </row>
    <row r="12" spans="1:15" ht="18" customHeight="1" x14ac:dyDescent="0.2">
      <c r="A12" s="1357" t="s">
        <v>272</v>
      </c>
      <c r="B12" s="1358"/>
      <c r="C12" s="1359"/>
      <c r="D12" s="1166" t="s">
        <v>635</v>
      </c>
      <c r="E12" s="381"/>
      <c r="F12" s="345" t="s">
        <v>531</v>
      </c>
      <c r="G12" s="345"/>
      <c r="H12" s="345"/>
      <c r="I12" s="345" t="s">
        <v>39</v>
      </c>
      <c r="J12" s="433">
        <f>IF(I24="","N/A", I24)</f>
        <v>43101</v>
      </c>
      <c r="K12" s="344" t="s">
        <v>47</v>
      </c>
      <c r="L12" s="433">
        <f>IF(I25="","N/A", I25)</f>
        <v>43465</v>
      </c>
    </row>
    <row r="13" spans="1:15" ht="18" customHeight="1" x14ac:dyDescent="0.2">
      <c r="A13" s="382"/>
      <c r="B13" s="382"/>
      <c r="C13" s="107"/>
      <c r="D13" s="383"/>
      <c r="E13" s="346"/>
      <c r="F13" s="345" t="s">
        <v>530</v>
      </c>
      <c r="G13" s="345"/>
      <c r="H13" s="345"/>
      <c r="I13" s="345" t="s">
        <v>39</v>
      </c>
      <c r="J13" s="433">
        <f>IF(I26="","N/A", I26)</f>
        <v>43466</v>
      </c>
      <c r="K13" s="344" t="s">
        <v>47</v>
      </c>
      <c r="L13" s="433">
        <f>IF(I27="","N/A", I27)</f>
        <v>43646</v>
      </c>
      <c r="M13" s="384"/>
      <c r="N13" s="384"/>
      <c r="O13" s="384"/>
    </row>
    <row r="14" spans="1:15" ht="18" customHeight="1" x14ac:dyDescent="0.2">
      <c r="A14" s="382"/>
      <c r="B14" s="382"/>
      <c r="C14" s="349"/>
      <c r="D14" s="384"/>
      <c r="E14" s="375"/>
      <c r="F14" s="330"/>
      <c r="G14" s="330"/>
      <c r="H14" s="384"/>
      <c r="I14" s="384"/>
      <c r="J14" s="384"/>
      <c r="K14" s="384"/>
      <c r="L14" s="384"/>
    </row>
    <row r="15" spans="1:15" ht="20.25" x14ac:dyDescent="0.2">
      <c r="A15" s="102"/>
      <c r="B15" s="4"/>
      <c r="C15" s="53"/>
      <c r="D15" s="348"/>
      <c r="E15" s="385"/>
      <c r="F15" s="122"/>
      <c r="G15" s="122"/>
      <c r="H15" s="382"/>
    </row>
    <row r="16" spans="1:15" ht="15" x14ac:dyDescent="0.2">
      <c r="A16" s="102"/>
      <c r="B16" s="5"/>
      <c r="G16" s="6"/>
      <c r="N16" s="53"/>
    </row>
    <row r="17" spans="1:15" ht="15" x14ac:dyDescent="0.2">
      <c r="A17" s="102"/>
      <c r="B17" s="5"/>
    </row>
    <row r="18" spans="1:15" ht="15" x14ac:dyDescent="0.2">
      <c r="A18" s="102"/>
      <c r="B18" s="5"/>
      <c r="C18" s="20"/>
      <c r="D18" s="20"/>
    </row>
    <row r="19" spans="1:15" x14ac:dyDescent="0.2">
      <c r="C19" s="20"/>
      <c r="D19" s="20"/>
    </row>
    <row r="21" spans="1:15" ht="93.75" customHeight="1" x14ac:dyDescent="0.2">
      <c r="A21" s="883"/>
      <c r="B21" s="883"/>
      <c r="C21" s="883"/>
      <c r="D21" s="883"/>
      <c r="E21" s="883"/>
      <c r="F21" s="883"/>
      <c r="G21" s="883"/>
      <c r="H21" s="883"/>
      <c r="I21" s="883"/>
      <c r="J21" s="883"/>
      <c r="K21" s="883"/>
      <c r="L21" s="883"/>
      <c r="M21" s="883"/>
      <c r="N21" s="519"/>
      <c r="O21" s="519"/>
    </row>
    <row r="22" spans="1:15" ht="31.5" customHeight="1" x14ac:dyDescent="0.2">
      <c r="A22" s="888"/>
      <c r="B22" s="882"/>
      <c r="C22" s="883"/>
      <c r="D22" s="883"/>
      <c r="E22" s="883"/>
      <c r="F22" s="883"/>
      <c r="G22" s="883"/>
      <c r="H22" s="883"/>
      <c r="I22" s="883"/>
      <c r="J22" s="883"/>
      <c r="K22" s="883"/>
      <c r="L22" s="883"/>
      <c r="M22" s="883"/>
      <c r="N22" s="519"/>
      <c r="O22" s="519"/>
    </row>
    <row r="23" spans="1:15" ht="27.75" hidden="1" customHeight="1" x14ac:dyDescent="0.25">
      <c r="A23" s="888"/>
      <c r="B23" s="884"/>
      <c r="C23" s="883"/>
      <c r="D23" s="883"/>
      <c r="E23" s="883"/>
      <c r="F23" s="883"/>
      <c r="G23" s="883"/>
      <c r="H23" s="885" t="s">
        <v>371</v>
      </c>
      <c r="I23" s="1169">
        <v>42736</v>
      </c>
      <c r="J23" s="883"/>
      <c r="K23" s="883"/>
      <c r="L23" s="883"/>
      <c r="M23" s="883"/>
      <c r="N23" s="519"/>
      <c r="O23" s="519"/>
    </row>
    <row r="24" spans="1:15" ht="50.25" hidden="1" customHeight="1" x14ac:dyDescent="0.2">
      <c r="A24" s="888"/>
      <c r="B24" s="886"/>
      <c r="C24" s="883"/>
      <c r="D24" s="883"/>
      <c r="E24" s="883"/>
      <c r="F24" s="883"/>
      <c r="G24" s="883"/>
      <c r="H24" s="885" t="s">
        <v>522</v>
      </c>
      <c r="I24" s="1169">
        <v>43101</v>
      </c>
      <c r="J24" s="883"/>
      <c r="K24" s="883"/>
      <c r="L24" s="883"/>
      <c r="M24" s="883"/>
      <c r="N24" s="519"/>
      <c r="O24" s="519"/>
    </row>
    <row r="25" spans="1:15" ht="15.75" hidden="1" customHeight="1" x14ac:dyDescent="0.25">
      <c r="A25" s="887"/>
      <c r="B25" s="887"/>
      <c r="C25" s="883"/>
      <c r="D25" s="883"/>
      <c r="E25" s="883"/>
      <c r="F25" s="883"/>
      <c r="G25" s="883"/>
      <c r="H25" s="885" t="s">
        <v>523</v>
      </c>
      <c r="I25" s="1169">
        <v>43465</v>
      </c>
      <c r="J25" s="883"/>
      <c r="K25" s="883"/>
      <c r="L25" s="883"/>
      <c r="M25" s="883"/>
      <c r="N25" s="519"/>
      <c r="O25" s="519"/>
    </row>
    <row r="26" spans="1:15" ht="32.25" hidden="1" customHeight="1" x14ac:dyDescent="0.25">
      <c r="A26" s="883"/>
      <c r="B26" s="887"/>
      <c r="C26" s="883" t="s">
        <v>407</v>
      </c>
      <c r="D26" s="883" t="str">
        <f>IFERROR("TRUE","FALSE")</f>
        <v>TRUE</v>
      </c>
      <c r="E26" s="883"/>
      <c r="F26" s="883"/>
      <c r="G26" s="883"/>
      <c r="H26" s="885" t="s">
        <v>520</v>
      </c>
      <c r="I26" s="1169">
        <v>43466</v>
      </c>
      <c r="J26" s="883"/>
      <c r="K26" s="883"/>
      <c r="L26" s="883"/>
      <c r="M26" s="883"/>
      <c r="N26" s="519"/>
      <c r="O26" s="519"/>
    </row>
    <row r="27" spans="1:15" ht="10.5" hidden="1" customHeight="1" x14ac:dyDescent="0.2">
      <c r="A27" s="883"/>
      <c r="B27" s="883"/>
      <c r="C27" s="883"/>
      <c r="D27" s="883"/>
      <c r="E27" s="883"/>
      <c r="F27" s="883"/>
      <c r="G27" s="883"/>
      <c r="H27" s="883" t="s">
        <v>521</v>
      </c>
      <c r="I27" s="1170">
        <v>43646</v>
      </c>
      <c r="J27" s="883"/>
      <c r="K27" s="883"/>
      <c r="L27" s="883"/>
      <c r="M27" s="883"/>
      <c r="N27" s="519"/>
      <c r="O27" s="519"/>
    </row>
    <row r="28" spans="1:15" ht="12.75" hidden="1" customHeight="1" x14ac:dyDescent="0.2">
      <c r="A28" s="883"/>
      <c r="B28" s="883"/>
      <c r="C28" s="883"/>
      <c r="D28" s="883"/>
      <c r="E28" s="883"/>
      <c r="F28" s="883"/>
      <c r="G28" s="883"/>
      <c r="H28" s="883"/>
      <c r="I28" s="883"/>
      <c r="J28" s="883"/>
      <c r="K28" s="883"/>
      <c r="L28" s="883"/>
      <c r="M28" s="883"/>
      <c r="N28" s="519"/>
      <c r="O28" s="519"/>
    </row>
    <row r="29" spans="1:15" hidden="1" x14ac:dyDescent="0.2">
      <c r="A29" s="883"/>
      <c r="B29" s="883"/>
      <c r="C29" s="883"/>
      <c r="D29" s="883"/>
      <c r="E29" s="883"/>
      <c r="F29" s="883"/>
      <c r="G29" s="883"/>
      <c r="H29" s="883"/>
      <c r="I29" s="883"/>
      <c r="J29" s="883"/>
      <c r="K29" s="883"/>
      <c r="L29" s="883"/>
      <c r="M29" s="883"/>
      <c r="N29" s="519"/>
      <c r="O29" s="519"/>
    </row>
    <row r="30" spans="1:15" hidden="1" x14ac:dyDescent="0.2">
      <c r="A30" s="883"/>
      <c r="B30" s="883"/>
      <c r="C30" s="883"/>
      <c r="D30" s="883"/>
      <c r="E30" s="883"/>
      <c r="F30" s="883"/>
      <c r="G30" s="883"/>
      <c r="H30" s="883"/>
      <c r="I30" s="883"/>
      <c r="J30" s="883"/>
      <c r="K30" s="883"/>
      <c r="L30" s="883"/>
      <c r="M30" s="883"/>
      <c r="N30" s="519"/>
      <c r="O30" s="519"/>
    </row>
    <row r="31" spans="1:15" x14ac:dyDescent="0.2">
      <c r="A31" s="883"/>
      <c r="B31" s="883"/>
      <c r="C31" s="883"/>
      <c r="D31" s="883"/>
      <c r="E31" s="883"/>
      <c r="F31" s="883"/>
      <c r="G31" s="883"/>
      <c r="H31" s="883"/>
      <c r="I31" s="883"/>
      <c r="J31" s="883"/>
      <c r="K31" s="883"/>
      <c r="L31" s="883"/>
      <c r="M31" s="883"/>
      <c r="N31" s="519"/>
      <c r="O31" s="519"/>
    </row>
    <row r="32" spans="1:15" x14ac:dyDescent="0.2">
      <c r="A32" s="883"/>
      <c r="B32" s="883"/>
      <c r="C32" s="883"/>
      <c r="D32" s="883"/>
      <c r="E32" s="883"/>
      <c r="F32" s="883"/>
      <c r="G32" s="883"/>
      <c r="H32" s="883"/>
      <c r="I32" s="883"/>
      <c r="J32" s="883"/>
      <c r="K32" s="883"/>
      <c r="L32" s="883"/>
      <c r="M32" s="883"/>
      <c r="N32" s="519"/>
      <c r="O32" s="519"/>
    </row>
    <row r="33" spans="1:15" x14ac:dyDescent="0.2">
      <c r="A33" s="883"/>
      <c r="B33" s="883"/>
      <c r="C33" s="883"/>
      <c r="D33" s="883"/>
      <c r="E33" s="883"/>
      <c r="F33" s="883"/>
      <c r="G33" s="883"/>
      <c r="H33" s="883"/>
      <c r="I33" s="883"/>
      <c r="J33" s="883"/>
      <c r="K33" s="883"/>
      <c r="L33" s="883"/>
      <c r="M33" s="883"/>
      <c r="N33" s="519"/>
      <c r="O33" s="519"/>
    </row>
    <row r="34" spans="1:15" x14ac:dyDescent="0.2">
      <c r="A34" s="883"/>
      <c r="B34" s="883"/>
      <c r="C34" s="883"/>
      <c r="D34" s="883"/>
      <c r="E34" s="883"/>
      <c r="F34" s="883"/>
      <c r="G34" s="883"/>
      <c r="H34" s="883"/>
      <c r="I34" s="883"/>
      <c r="J34" s="883"/>
      <c r="K34" s="883"/>
      <c r="L34" s="883"/>
      <c r="M34" s="883"/>
      <c r="N34" s="519"/>
      <c r="O34" s="519"/>
    </row>
    <row r="35" spans="1:15" x14ac:dyDescent="0.2">
      <c r="A35" s="883"/>
      <c r="B35" s="883"/>
      <c r="C35" s="883"/>
      <c r="D35" s="883"/>
      <c r="E35" s="883"/>
      <c r="F35" s="883"/>
      <c r="G35" s="883"/>
      <c r="H35" s="883"/>
      <c r="I35" s="883"/>
      <c r="J35" s="883"/>
      <c r="K35" s="883"/>
      <c r="L35" s="883"/>
      <c r="M35" s="883"/>
      <c r="N35" s="519"/>
      <c r="O35" s="519"/>
    </row>
    <row r="36" spans="1:15" x14ac:dyDescent="0.2">
      <c r="A36" s="883"/>
      <c r="B36" s="883"/>
      <c r="C36" s="883"/>
      <c r="D36" s="883"/>
      <c r="E36" s="883"/>
      <c r="F36" s="883"/>
      <c r="G36" s="883"/>
      <c r="H36" s="883"/>
      <c r="I36" s="883"/>
      <c r="J36" s="883"/>
      <c r="K36" s="883"/>
      <c r="L36" s="883"/>
      <c r="M36" s="883"/>
      <c r="N36" s="519"/>
      <c r="O36" s="519"/>
    </row>
    <row r="37" spans="1:15" x14ac:dyDescent="0.2">
      <c r="A37" s="883"/>
      <c r="B37" s="883"/>
      <c r="C37" s="883"/>
      <c r="D37" s="883"/>
      <c r="E37" s="883"/>
      <c r="F37" s="883"/>
      <c r="G37" s="883"/>
      <c r="H37" s="883"/>
      <c r="I37" s="883"/>
      <c r="J37" s="883"/>
      <c r="K37" s="883"/>
      <c r="L37" s="883"/>
      <c r="M37" s="883"/>
      <c r="N37" s="519"/>
      <c r="O37" s="519"/>
    </row>
    <row r="38" spans="1:15" x14ac:dyDescent="0.2">
      <c r="A38" s="883"/>
      <c r="B38" s="883"/>
      <c r="C38" s="883"/>
      <c r="D38" s="883"/>
      <c r="E38" s="883"/>
      <c r="F38" s="883"/>
      <c r="G38" s="883"/>
      <c r="H38" s="883"/>
      <c r="I38" s="883"/>
      <c r="J38" s="883"/>
      <c r="K38" s="883"/>
      <c r="L38" s="883"/>
      <c r="M38" s="883"/>
      <c r="N38" s="519"/>
      <c r="O38" s="519"/>
    </row>
    <row r="39" spans="1:15" x14ac:dyDescent="0.2">
      <c r="A39" s="883"/>
      <c r="B39" s="883"/>
      <c r="C39" s="883"/>
      <c r="D39" s="883"/>
      <c r="E39" s="883"/>
      <c r="F39" s="883"/>
      <c r="G39" s="883"/>
      <c r="H39" s="883"/>
      <c r="I39" s="883"/>
      <c r="J39" s="883"/>
      <c r="K39" s="883"/>
      <c r="L39" s="883"/>
      <c r="M39" s="883"/>
      <c r="N39" s="519"/>
      <c r="O39" s="519"/>
    </row>
    <row r="40" spans="1:15" x14ac:dyDescent="0.2">
      <c r="A40" s="883"/>
      <c r="B40" s="883"/>
      <c r="C40" s="883"/>
      <c r="D40" s="883"/>
      <c r="E40" s="883"/>
      <c r="F40" s="883"/>
      <c r="G40" s="883"/>
      <c r="H40" s="883"/>
      <c r="I40" s="883"/>
      <c r="J40" s="883"/>
      <c r="K40" s="883"/>
      <c r="L40" s="883"/>
      <c r="M40" s="883"/>
      <c r="N40" s="519"/>
      <c r="O40" s="519"/>
    </row>
    <row r="41" spans="1:15" x14ac:dyDescent="0.2">
      <c r="A41" s="883"/>
      <c r="B41" s="883"/>
      <c r="C41" s="883"/>
      <c r="D41" s="883"/>
      <c r="E41" s="883"/>
      <c r="F41" s="883"/>
      <c r="G41" s="883"/>
      <c r="H41" s="883"/>
      <c r="I41" s="883"/>
      <c r="J41" s="883"/>
      <c r="K41" s="883"/>
      <c r="L41" s="883"/>
      <c r="M41" s="883"/>
      <c r="N41" s="519"/>
      <c r="O41" s="519"/>
    </row>
    <row r="42" spans="1:15" x14ac:dyDescent="0.2">
      <c r="B42" s="883"/>
      <c r="C42" s="519"/>
      <c r="D42" s="519"/>
      <c r="E42" s="519"/>
      <c r="F42" s="519"/>
      <c r="G42" s="519"/>
      <c r="H42" s="519"/>
      <c r="I42" s="519"/>
      <c r="J42" s="519"/>
      <c r="K42" s="519"/>
      <c r="L42" s="519"/>
      <c r="M42" s="519"/>
      <c r="N42" s="519"/>
      <c r="O42" s="519"/>
    </row>
    <row r="43" spans="1:15" x14ac:dyDescent="0.2">
      <c r="B43" s="883"/>
      <c r="C43" s="519"/>
      <c r="D43" s="519"/>
      <c r="E43" s="519"/>
      <c r="F43" s="519"/>
      <c r="G43" s="519"/>
      <c r="H43" s="519"/>
      <c r="I43" s="519"/>
      <c r="J43" s="519"/>
      <c r="K43" s="519"/>
      <c r="L43" s="519"/>
      <c r="M43" s="519"/>
      <c r="N43" s="519"/>
      <c r="O43" s="519"/>
    </row>
    <row r="44" spans="1:15" x14ac:dyDescent="0.2">
      <c r="C44" s="519"/>
      <c r="D44" s="519"/>
      <c r="E44" s="519"/>
      <c r="F44" s="519"/>
      <c r="G44" s="519"/>
      <c r="H44" s="519"/>
      <c r="I44" s="519"/>
      <c r="J44" s="519"/>
      <c r="K44" s="519"/>
      <c r="L44" s="519"/>
      <c r="M44" s="519"/>
      <c r="N44" s="519"/>
      <c r="O44" s="519"/>
    </row>
    <row r="45" spans="1:15" x14ac:dyDescent="0.2">
      <c r="C45" s="519"/>
      <c r="D45" s="519"/>
      <c r="E45" s="519"/>
      <c r="F45" s="519"/>
      <c r="G45" s="519"/>
      <c r="H45" s="519"/>
      <c r="I45" s="519"/>
      <c r="J45" s="519"/>
      <c r="K45" s="519"/>
      <c r="L45" s="519"/>
      <c r="M45" s="519"/>
      <c r="N45" s="519"/>
      <c r="O45" s="519"/>
    </row>
    <row r="46" spans="1:15" x14ac:dyDescent="0.2">
      <c r="C46" s="519"/>
      <c r="D46" s="519"/>
      <c r="E46" s="519"/>
      <c r="F46" s="519"/>
      <c r="G46" s="519"/>
      <c r="H46" s="519"/>
      <c r="I46" s="519"/>
      <c r="J46" s="519"/>
      <c r="K46" s="519"/>
      <c r="L46" s="519"/>
      <c r="M46" s="519"/>
      <c r="N46" s="519"/>
      <c r="O46" s="519"/>
    </row>
    <row r="47" spans="1:15" x14ac:dyDescent="0.2">
      <c r="C47" s="519"/>
      <c r="D47" s="519"/>
      <c r="E47" s="519"/>
      <c r="F47" s="519"/>
      <c r="G47" s="519"/>
      <c r="H47" s="519"/>
      <c r="I47" s="519"/>
      <c r="J47" s="519"/>
      <c r="K47" s="519"/>
      <c r="L47" s="519"/>
      <c r="M47" s="519"/>
      <c r="N47" s="519"/>
      <c r="O47" s="519"/>
    </row>
    <row r="48" spans="1:15" x14ac:dyDescent="0.2">
      <c r="C48" s="519"/>
      <c r="D48" s="519"/>
      <c r="E48" s="519"/>
      <c r="F48" s="519"/>
      <c r="G48" s="519"/>
      <c r="H48" s="519"/>
      <c r="I48" s="519"/>
      <c r="J48" s="519"/>
      <c r="K48" s="519"/>
      <c r="L48" s="519"/>
      <c r="M48" s="519"/>
      <c r="N48" s="519"/>
      <c r="O48" s="519"/>
    </row>
    <row r="49" spans="3:15" x14ac:dyDescent="0.2">
      <c r="C49" s="519"/>
      <c r="D49" s="519"/>
      <c r="E49" s="519"/>
      <c r="F49" s="519"/>
      <c r="G49" s="519"/>
      <c r="H49" s="519"/>
      <c r="I49" s="519"/>
      <c r="J49" s="519"/>
      <c r="K49" s="519"/>
      <c r="L49" s="519"/>
      <c r="M49" s="519"/>
      <c r="N49" s="519"/>
      <c r="O49" s="519"/>
    </row>
  </sheetData>
  <sheetProtection algorithmName="SHA-512" hashValue="M7C8F94c7tyhPYHRzXACrUALk8UpbYu5/ka0ZBhrj13xi+e7dKOt4jJdpjIOH+WdivPh+uiqDKy1p4d0iRkrfg==" saltValue="V2wdW6WHI3ctDzl1h60BcQ==" spinCount="100000" sheet="1" objects="1" scenarios="1" formatColumns="0" formatRows="0" sort="0" autoFilter="0"/>
  <mergeCells count="12">
    <mergeCell ref="A12:C12"/>
    <mergeCell ref="A8:C8"/>
    <mergeCell ref="A9:C9"/>
    <mergeCell ref="F8:L8"/>
    <mergeCell ref="A10:C10"/>
    <mergeCell ref="A11:C11"/>
    <mergeCell ref="A7:C7"/>
    <mergeCell ref="A1:L1"/>
    <mergeCell ref="M1:O1"/>
    <mergeCell ref="A2:O3"/>
    <mergeCell ref="A5:C5"/>
    <mergeCell ref="A6:C6"/>
  </mergeCells>
  <dataValidations count="10">
    <dataValidation type="list" allowBlank="1" showInputMessage="1" showErrorMessage="1" errorTitle="X-Author for Excel" error="Please select either TRUE or FALSE from the dropdown." promptTitle="X-Author for Excel" sqref="D26">
      <formula1>"TRUE,FALSE"</formula1>
    </dataValidation>
    <dataValidation type="date" allowBlank="1" showInputMessage="1" showErrorMessage="1" errorTitle="X-Author for Excel" error="Please enter a valid date." promptTitle="X-Author for Excel" sqref="J6">
      <formula1>36526</formula1>
      <formula2>36891</formula2>
    </dataValidation>
    <dataValidation type="date" allowBlank="1" showInputMessage="1" showErrorMessage="1" errorTitle="X-Author for Excel" error="Please enter a valid date." promptTitle="X-Author for Excel" sqref="L6">
      <formula1>36526</formula1>
      <formula2>36891</formula2>
    </dataValidation>
    <dataValidation type="date" allowBlank="1" showInputMessage="1" showErrorMessage="1" errorTitle="X-Author for Excel" error="Please enter a valid date." promptTitle="X-Author for Excel" sqref="D10">
      <formula1>36526</formula1>
      <formula2>36891</formula2>
    </dataValidation>
    <dataValidation type="date" allowBlank="1" showInputMessage="1" showErrorMessage="1" errorTitle="X-Author for Excel" error="Please enter a valid date." promptTitle="X-Author for Excel" sqref="I23">
      <formula1>36526</formula1>
      <formula2>36891</formula2>
    </dataValidation>
    <dataValidation type="date" allowBlank="1" showInputMessage="1" showErrorMessage="1" errorTitle="X-Author for Excel" error="Please enter a valid date." promptTitle="X-Author for Excel" sqref="I24">
      <formula1>36526</formula1>
      <formula2>36891</formula2>
    </dataValidation>
    <dataValidation type="date" allowBlank="1" showInputMessage="1" showErrorMessage="1" errorTitle="X-Author for Excel" error="Please enter a valid date." promptTitle="X-Author for Excel" sqref="I25">
      <formula1>36526</formula1>
      <formula2>36891</formula2>
    </dataValidation>
    <dataValidation type="date" allowBlank="1" showInputMessage="1" showErrorMessage="1" errorTitle="X-Author for Excel" error="Please enter a valid date." promptTitle="X-Author for Excel" sqref="I26">
      <formula1>36526</formula1>
      <formula2>36891</formula2>
    </dataValidation>
    <dataValidation type="date" allowBlank="1" showInputMessage="1" showErrorMessage="1" errorTitle="X-Author for Excel" error="Please enter a valid date." promptTitle="X-Author for Excel" sqref="I27">
      <formula1>36526</formula1>
      <formula2>36891</formula2>
    </dataValidation>
    <dataValidation type="list" allowBlank="1" showInputMessage="1" showErrorMessage="1" errorTitle="X-Author for Excel" error="Please select a value from the drop-down." promptTitle="X-Author for Excel" sqref="D11">
      <formula1>IF(IFERROR(ROWS(INDIRECT(SUBSTITUTE("AIM_Implementation_Period__c.AIM_Grant_Currency__c"," ","_"))),-1) &lt; 0, XAuthorInvalidPicklistData,INDIRECT(SUBSTITUTE("AIM_Implementation_Period__c.AIM_Grant_Currency__c"," ","_")))</formula1>
    </dataValidation>
  </dataValidations>
  <printOptions horizontalCentered="1" verticalCentered="1"/>
  <pageMargins left="0.23622047244094491" right="0.23622047244094491" top="0.74803149606299213" bottom="0.74803149606299213" header="0.31496062992125984" footer="0.31496062992125984"/>
  <pageSetup paperSize="9" scale="47" orientation="landscape" r:id="rId1"/>
  <headerFooter alignWithMargins="0">
    <oddFoote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W115"/>
  <sheetViews>
    <sheetView showGridLines="0" view="pageBreakPreview" zoomScale="70" zoomScaleNormal="60" zoomScaleSheetLayoutView="70" workbookViewId="0">
      <selection activeCell="K10" sqref="K10"/>
    </sheetView>
  </sheetViews>
  <sheetFormatPr defaultColWidth="9.140625" defaultRowHeight="12.75" x14ac:dyDescent="0.2"/>
  <cols>
    <col min="1" max="1" width="36.140625" style="19" customWidth="1"/>
    <col min="2" max="2" width="27" style="19" customWidth="1"/>
    <col min="3" max="3" width="24.140625" style="19" customWidth="1"/>
    <col min="4" max="4" width="21" style="19" customWidth="1"/>
    <col min="5" max="5" width="21.42578125" style="19" customWidth="1"/>
    <col min="6" max="8" width="22" style="19" customWidth="1"/>
    <col min="9" max="9" width="24.85546875" style="19" customWidth="1"/>
    <col min="10" max="10" width="20.140625" style="19" customWidth="1"/>
    <col min="11" max="11" width="38.42578125" style="19" customWidth="1"/>
    <col min="12" max="12" width="20.140625" style="19" customWidth="1"/>
    <col min="13" max="13" width="21.140625" style="19" customWidth="1"/>
    <col min="14" max="14" width="44.85546875" style="19" customWidth="1"/>
    <col min="15" max="15" width="23.42578125" style="19" hidden="1" customWidth="1"/>
    <col min="16" max="16" width="16.42578125" style="19" hidden="1" customWidth="1"/>
    <col min="17" max="17" width="5.85546875" style="19" hidden="1" customWidth="1"/>
    <col min="18" max="18" width="3.42578125" style="94" hidden="1" customWidth="1"/>
    <col min="19" max="22" width="9.140625" style="94" hidden="1" customWidth="1"/>
    <col min="23" max="23" width="0.5703125" style="94" customWidth="1"/>
    <col min="24" max="16384" width="9.140625" style="94"/>
  </cols>
  <sheetData>
    <row r="1" spans="1:23" ht="51.75" customHeight="1" thickBot="1" x14ac:dyDescent="0.65">
      <c r="A1" s="668" t="str">
        <f>IF(CoverSheet!J12="N/A","Progress Report","Progress Report with Disbursement Request")</f>
        <v>Progress Report with Disbursement Request</v>
      </c>
      <c r="B1" s="144"/>
      <c r="C1" s="144"/>
      <c r="D1" s="144"/>
      <c r="E1" s="144"/>
      <c r="F1" s="144"/>
      <c r="G1" s="144"/>
      <c r="H1" s="144"/>
      <c r="I1" s="667"/>
      <c r="J1" s="118"/>
      <c r="K1" s="118"/>
      <c r="L1" s="118"/>
    </row>
    <row r="2" spans="1:23" s="133" customFormat="1" ht="36.75" customHeight="1" x14ac:dyDescent="0.2">
      <c r="A2" s="1467" t="s">
        <v>162</v>
      </c>
      <c r="B2" s="1468"/>
      <c r="C2" s="1471" t="str">
        <f>CoverSheet!F9</f>
        <v>Period of Financial Reporting</v>
      </c>
      <c r="D2" s="1472"/>
      <c r="E2" s="821" t="str">
        <f>CoverSheet!I9</f>
        <v>Beginning Date:</v>
      </c>
      <c r="F2" s="822">
        <f>IF(CoverSheet!J9="","N/A",CoverSheet!J9)</f>
        <v>42736</v>
      </c>
      <c r="G2" s="821" t="str">
        <f>CoverSheet!K9</f>
        <v>End Date:</v>
      </c>
      <c r="H2" s="823">
        <f>IF(CoverSheet!L9="","N/A",CoverSheet!L9)</f>
        <v>43100</v>
      </c>
      <c r="I2" s="837"/>
      <c r="J2" s="837"/>
      <c r="K2" s="837"/>
      <c r="L2" s="837"/>
      <c r="M2" s="837"/>
      <c r="N2" s="838"/>
      <c r="O2" s="140"/>
      <c r="P2" s="140"/>
      <c r="Q2" s="140"/>
    </row>
    <row r="3" spans="1:23" s="133" customFormat="1" ht="34.5" customHeight="1" thickBot="1" x14ac:dyDescent="0.25">
      <c r="A3" s="1469"/>
      <c r="B3" s="1470"/>
      <c r="C3" s="1490" t="s">
        <v>538</v>
      </c>
      <c r="D3" s="1491"/>
      <c r="E3" s="829" t="str">
        <f>CoverSheet!I9</f>
        <v>Beginning Date:</v>
      </c>
      <c r="F3" s="830">
        <f>IF(_00de7129_653b_4d69_830e_62f54dcfdb6c="","N/A",_00de7129_653b_4d69_830e_62f54dcfdb6c)</f>
        <v>42736</v>
      </c>
      <c r="G3" s="829" t="str">
        <f>CoverSheet!K9</f>
        <v>End Date:</v>
      </c>
      <c r="H3" s="827">
        <f>IF(CoverSheet!L9="","N/A",CoverSheet!L9)</f>
        <v>43100</v>
      </c>
      <c r="I3" s="839"/>
      <c r="J3" s="839"/>
      <c r="K3" s="839"/>
      <c r="L3" s="839"/>
      <c r="M3" s="839"/>
      <c r="N3" s="840"/>
      <c r="O3" s="140"/>
      <c r="P3" s="140"/>
      <c r="Q3" s="140"/>
    </row>
    <row r="4" spans="1:23" s="97" customFormat="1" ht="18" customHeight="1" thickBot="1" x14ac:dyDescent="0.25">
      <c r="A4" s="670"/>
      <c r="B4" s="670"/>
      <c r="C4" s="670"/>
      <c r="D4" s="670"/>
      <c r="E4" s="670"/>
      <c r="F4" s="670"/>
      <c r="G4" s="670"/>
      <c r="H4" s="670"/>
      <c r="I4" s="670"/>
      <c r="J4" s="670"/>
      <c r="K4" s="670"/>
      <c r="L4" s="670"/>
      <c r="M4" s="670"/>
      <c r="N4" s="122"/>
      <c r="O4" s="122"/>
      <c r="P4" s="122"/>
      <c r="Q4" s="122"/>
    </row>
    <row r="5" spans="1:23" ht="39.75" customHeight="1" thickBot="1" x14ac:dyDescent="0.25">
      <c r="A5" s="1483" t="s">
        <v>416</v>
      </c>
      <c r="B5" s="1484"/>
      <c r="C5" s="1484"/>
      <c r="D5" s="1484"/>
      <c r="E5" s="1484"/>
      <c r="F5" s="1484"/>
      <c r="G5" s="1484"/>
      <c r="H5" s="1484"/>
      <c r="I5" s="1484"/>
      <c r="J5" s="1484"/>
      <c r="K5" s="1484"/>
      <c r="L5" s="1484"/>
      <c r="M5" s="1484"/>
      <c r="N5" s="1484"/>
      <c r="O5" s="1484"/>
      <c r="P5" s="1484"/>
      <c r="Q5" s="1484"/>
      <c r="R5" s="797"/>
      <c r="S5" s="797"/>
      <c r="T5" s="797"/>
      <c r="U5" s="797"/>
      <c r="V5" s="797"/>
      <c r="W5" s="437"/>
    </row>
    <row r="6" spans="1:23" ht="21" thickBot="1" x14ac:dyDescent="0.25">
      <c r="A6" s="146"/>
      <c r="B6" s="146"/>
      <c r="C6" s="146"/>
      <c r="D6" s="146"/>
      <c r="E6" s="146"/>
      <c r="F6" s="146"/>
      <c r="G6" s="146"/>
      <c r="H6" s="146"/>
      <c r="I6" s="146"/>
      <c r="J6" s="146"/>
      <c r="O6" s="46"/>
      <c r="R6" s="98"/>
      <c r="S6" s="98"/>
      <c r="T6" s="98"/>
      <c r="U6" s="98"/>
      <c r="V6" s="98"/>
      <c r="W6" s="439"/>
    </row>
    <row r="7" spans="1:23" ht="33.75" customHeight="1" thickBot="1" x14ac:dyDescent="0.25">
      <c r="A7" s="1485" t="s">
        <v>70</v>
      </c>
      <c r="B7" s="1485"/>
      <c r="C7" s="1485"/>
      <c r="D7" s="1485"/>
      <c r="E7" s="1485"/>
      <c r="F7" s="1485"/>
      <c r="G7" s="1485"/>
      <c r="H7" s="1485"/>
      <c r="I7" s="1485"/>
      <c r="J7" s="1485"/>
      <c r="K7" s="1485"/>
      <c r="L7" s="1486" t="s">
        <v>143</v>
      </c>
      <c r="M7" s="1486"/>
      <c r="N7" s="1486"/>
      <c r="O7" s="1487" t="s">
        <v>101</v>
      </c>
      <c r="P7" s="1488"/>
      <c r="Q7" s="1489"/>
      <c r="R7" s="441"/>
      <c r="S7" s="441"/>
      <c r="T7" s="441"/>
      <c r="U7" s="441"/>
      <c r="V7" s="441"/>
      <c r="W7" s="804"/>
    </row>
    <row r="8" spans="1:23" ht="129.75" customHeight="1" x14ac:dyDescent="0.2">
      <c r="A8" s="521" t="s">
        <v>144</v>
      </c>
      <c r="B8" s="521" t="s">
        <v>158</v>
      </c>
      <c r="C8" s="521" t="s">
        <v>145</v>
      </c>
      <c r="D8" s="521" t="s">
        <v>223</v>
      </c>
      <c r="E8" s="521" t="s">
        <v>224</v>
      </c>
      <c r="F8" s="521" t="s">
        <v>225</v>
      </c>
      <c r="G8" s="923" t="s">
        <v>547</v>
      </c>
      <c r="H8" s="923" t="s">
        <v>548</v>
      </c>
      <c r="I8" s="923" t="s">
        <v>549</v>
      </c>
      <c r="J8" s="923" t="s">
        <v>550</v>
      </c>
      <c r="K8" s="521" t="s">
        <v>27</v>
      </c>
      <c r="L8" s="812" t="s">
        <v>114</v>
      </c>
      <c r="M8" s="813" t="s">
        <v>71</v>
      </c>
      <c r="N8" s="812" t="s">
        <v>27</v>
      </c>
      <c r="O8" s="814" t="s">
        <v>142</v>
      </c>
      <c r="P8" s="525" t="s">
        <v>72</v>
      </c>
      <c r="Q8" s="525" t="s">
        <v>27</v>
      </c>
      <c r="R8" s="815"/>
      <c r="S8" s="816"/>
      <c r="T8" s="817" t="s">
        <v>356</v>
      </c>
      <c r="U8" s="817" t="s">
        <v>490</v>
      </c>
      <c r="V8" s="805"/>
      <c r="W8" s="437"/>
    </row>
    <row r="9" spans="1:23" ht="26.25" hidden="1" customHeight="1" x14ac:dyDescent="0.2">
      <c r="A9" s="1306" t="s">
        <v>481</v>
      </c>
      <c r="B9" s="1307" t="s">
        <v>482</v>
      </c>
      <c r="C9" s="1307" t="s">
        <v>483</v>
      </c>
      <c r="D9" s="1307" t="s">
        <v>484</v>
      </c>
      <c r="E9" s="1307" t="s">
        <v>485</v>
      </c>
      <c r="F9" s="1307" t="s">
        <v>486</v>
      </c>
      <c r="G9" s="1307" t="s">
        <v>487</v>
      </c>
      <c r="H9" s="1308" t="str">
        <f>IFERROR(+C9+D9+E9-F9-G9,"")</f>
        <v/>
      </c>
      <c r="I9" s="1307" t="s">
        <v>488</v>
      </c>
      <c r="J9" s="1308" t="str">
        <f>IFERROR(+I9-H9,"")</f>
        <v/>
      </c>
      <c r="K9" s="1309"/>
      <c r="L9" s="1310" t="s">
        <v>489</v>
      </c>
      <c r="M9" s="1311" t="str">
        <f>IFERROR(H9+L9,"")</f>
        <v/>
      </c>
      <c r="N9" s="529"/>
      <c r="O9" s="1312"/>
      <c r="P9" s="1313" t="e">
        <f t="shared" ref="P9:P111" si="0">M9+O9</f>
        <v>#VALUE!</v>
      </c>
      <c r="Q9" s="1314"/>
      <c r="R9" s="815"/>
      <c r="S9" s="816"/>
      <c r="T9" s="817" t="s">
        <v>355</v>
      </c>
      <c r="U9" s="817" t="str">
        <f>IF(OR(A9&lt;&gt;"",B9&lt;&gt;"",C9&lt;&gt;"",D9&lt;&gt;"",E9&lt;&gt;"",F9&lt;&gt;"",G9&lt;&gt;"",I9&lt;&gt;"",L9&lt;&gt;""),'Admin Sheet'!$B$44,"")</f>
        <v>a1Y36000002VIYcEAO</v>
      </c>
      <c r="V9" s="806"/>
      <c r="W9" s="439"/>
    </row>
    <row r="10" spans="1:23" ht="26.25" customHeight="1" x14ac:dyDescent="0.2">
      <c r="A10" s="1306" t="s">
        <v>1087</v>
      </c>
      <c r="B10" s="1307">
        <v>0</v>
      </c>
      <c r="C10" s="1307">
        <v>0</v>
      </c>
      <c r="D10" s="1307">
        <v>387266.25641925068</v>
      </c>
      <c r="E10" s="1307">
        <v>0</v>
      </c>
      <c r="F10" s="1307">
        <v>370992.03</v>
      </c>
      <c r="G10" s="1307">
        <v>0</v>
      </c>
      <c r="H10" s="1308">
        <f t="shared" ref="H10:H73" si="1">IFERROR(+C10+D10+E10-F10-G10,"")</f>
        <v>16274.226419250655</v>
      </c>
      <c r="I10" s="1307"/>
      <c r="J10" s="1308">
        <f t="shared" ref="J10:J73" si="2">IFERROR(+I10-H10,"")</f>
        <v>-16274.226419250655</v>
      </c>
      <c r="K10" s="1309" t="s">
        <v>1605</v>
      </c>
      <c r="L10" s="1310"/>
      <c r="M10" s="1311">
        <f t="shared" ref="M10:M73" si="3">IFERROR(H10+L10,"")</f>
        <v>16274.226419250655</v>
      </c>
      <c r="N10" s="529"/>
      <c r="O10" s="1312"/>
      <c r="P10" s="1313">
        <f t="shared" si="0"/>
        <v>16274.226419250655</v>
      </c>
      <c r="Q10" s="1314"/>
      <c r="R10" s="815"/>
      <c r="S10" s="816"/>
      <c r="T10" s="1315"/>
      <c r="U10" s="817" t="str">
        <f>IF(OR(A10&lt;&gt;"",B10&lt;&gt;"",C10&lt;&gt;"",D10&lt;&gt;"",E10&lt;&gt;"",F10&lt;&gt;"",G10&lt;&gt;"",I10&lt;&gt;"",L10&lt;&gt;""),'Admin Sheet'!$B$44,"")</f>
        <v>a1Y36000002VIYcEAO</v>
      </c>
      <c r="V10" s="806"/>
      <c r="W10" s="439"/>
    </row>
    <row r="11" spans="1:23" ht="26.25" customHeight="1" x14ac:dyDescent="0.2">
      <c r="A11" s="1306"/>
      <c r="B11" s="1307"/>
      <c r="C11" s="1307"/>
      <c r="D11" s="1307"/>
      <c r="E11" s="1307"/>
      <c r="F11" s="1307"/>
      <c r="G11" s="1307"/>
      <c r="H11" s="1308">
        <f t="shared" si="1"/>
        <v>0</v>
      </c>
      <c r="I11" s="1307"/>
      <c r="J11" s="1308">
        <f t="shared" si="2"/>
        <v>0</v>
      </c>
      <c r="K11" s="1349"/>
      <c r="L11" s="1310"/>
      <c r="M11" s="1311">
        <f t="shared" si="3"/>
        <v>0</v>
      </c>
      <c r="N11" s="529"/>
      <c r="O11" s="1312"/>
      <c r="P11" s="1313">
        <f t="shared" si="0"/>
        <v>0</v>
      </c>
      <c r="Q11" s="1314"/>
      <c r="R11" s="815"/>
      <c r="S11" s="816"/>
      <c r="T11" s="1315"/>
      <c r="U11" s="817" t="str">
        <f>IF(OR(A11&lt;&gt;"",B11&lt;&gt;"",C11&lt;&gt;"",D11&lt;&gt;"",E11&lt;&gt;"",F11&lt;&gt;"",G11&lt;&gt;"",I11&lt;&gt;"",L11&lt;&gt;""),'Admin Sheet'!$B$44,"")</f>
        <v/>
      </c>
      <c r="V11" s="806"/>
      <c r="W11" s="439"/>
    </row>
    <row r="12" spans="1:23" ht="26.25" customHeight="1" x14ac:dyDescent="0.2">
      <c r="A12" s="1306"/>
      <c r="B12" s="1307"/>
      <c r="C12" s="1307"/>
      <c r="D12" s="1307"/>
      <c r="E12" s="1307"/>
      <c r="F12" s="1307"/>
      <c r="G12" s="1307"/>
      <c r="H12" s="1308">
        <f t="shared" si="1"/>
        <v>0</v>
      </c>
      <c r="I12" s="1307"/>
      <c r="J12" s="1308">
        <f t="shared" si="2"/>
        <v>0</v>
      </c>
      <c r="K12" s="1309"/>
      <c r="L12" s="1310"/>
      <c r="M12" s="1311">
        <f t="shared" si="3"/>
        <v>0</v>
      </c>
      <c r="N12" s="529"/>
      <c r="O12" s="1312"/>
      <c r="P12" s="1313">
        <f t="shared" si="0"/>
        <v>0</v>
      </c>
      <c r="Q12" s="1314"/>
      <c r="R12" s="815"/>
      <c r="S12" s="816"/>
      <c r="T12" s="1315"/>
      <c r="U12" s="817" t="str">
        <f>IF(OR(A12&lt;&gt;"",B12&lt;&gt;"",C12&lt;&gt;"",D12&lt;&gt;"",E12&lt;&gt;"",F12&lt;&gt;"",G12&lt;&gt;"",I12&lt;&gt;"",L12&lt;&gt;""),'Admin Sheet'!$B$44,"")</f>
        <v/>
      </c>
      <c r="V12" s="806"/>
      <c r="W12" s="439"/>
    </row>
    <row r="13" spans="1:23" ht="26.25" customHeight="1" x14ac:dyDescent="0.2">
      <c r="A13" s="1306"/>
      <c r="B13" s="1307"/>
      <c r="C13" s="1307"/>
      <c r="D13" s="1307"/>
      <c r="E13" s="1307"/>
      <c r="F13" s="1307"/>
      <c r="G13" s="1307"/>
      <c r="H13" s="1308">
        <f t="shared" si="1"/>
        <v>0</v>
      </c>
      <c r="I13" s="1307"/>
      <c r="J13" s="1308">
        <f t="shared" si="2"/>
        <v>0</v>
      </c>
      <c r="K13" s="1309"/>
      <c r="L13" s="1310"/>
      <c r="M13" s="1311">
        <f t="shared" si="3"/>
        <v>0</v>
      </c>
      <c r="N13" s="529"/>
      <c r="O13" s="1312"/>
      <c r="P13" s="1313">
        <f t="shared" si="0"/>
        <v>0</v>
      </c>
      <c r="Q13" s="1314"/>
      <c r="R13" s="815"/>
      <c r="S13" s="816"/>
      <c r="T13" s="1315"/>
      <c r="U13" s="817" t="str">
        <f>IF(OR(A13&lt;&gt;"",B13&lt;&gt;"",C13&lt;&gt;"",D13&lt;&gt;"",E13&lt;&gt;"",F13&lt;&gt;"",G13&lt;&gt;"",I13&lt;&gt;"",L13&lt;&gt;""),'Admin Sheet'!$B$44,"")</f>
        <v/>
      </c>
      <c r="V13" s="806"/>
      <c r="W13" s="439"/>
    </row>
    <row r="14" spans="1:23" ht="26.25" customHeight="1" x14ac:dyDescent="0.2">
      <c r="A14" s="1306"/>
      <c r="B14" s="1307"/>
      <c r="C14" s="1307"/>
      <c r="D14" s="1307"/>
      <c r="E14" s="1307"/>
      <c r="F14" s="1307"/>
      <c r="G14" s="1307"/>
      <c r="H14" s="1308">
        <f t="shared" si="1"/>
        <v>0</v>
      </c>
      <c r="I14" s="1307"/>
      <c r="J14" s="1308">
        <f t="shared" si="2"/>
        <v>0</v>
      </c>
      <c r="K14" s="1309"/>
      <c r="L14" s="1310"/>
      <c r="M14" s="1311">
        <f t="shared" si="3"/>
        <v>0</v>
      </c>
      <c r="N14" s="529"/>
      <c r="O14" s="1312"/>
      <c r="P14" s="1313">
        <f t="shared" si="0"/>
        <v>0</v>
      </c>
      <c r="Q14" s="1314"/>
      <c r="R14" s="815"/>
      <c r="S14" s="816"/>
      <c r="T14" s="1315"/>
      <c r="U14" s="817" t="str">
        <f>IF(OR(A14&lt;&gt;"",B14&lt;&gt;"",C14&lt;&gt;"",D14&lt;&gt;"",E14&lt;&gt;"",F14&lt;&gt;"",G14&lt;&gt;"",I14&lt;&gt;"",L14&lt;&gt;""),'Admin Sheet'!$B$44,"")</f>
        <v/>
      </c>
      <c r="V14" s="806"/>
      <c r="W14" s="439"/>
    </row>
    <row r="15" spans="1:23" ht="26.25" customHeight="1" x14ac:dyDescent="0.2">
      <c r="A15" s="1306"/>
      <c r="B15" s="1307"/>
      <c r="C15" s="1307"/>
      <c r="D15" s="1307"/>
      <c r="E15" s="1307"/>
      <c r="F15" s="1307"/>
      <c r="G15" s="1307"/>
      <c r="H15" s="1308">
        <f t="shared" si="1"/>
        <v>0</v>
      </c>
      <c r="I15" s="1307"/>
      <c r="J15" s="1308">
        <f t="shared" si="2"/>
        <v>0</v>
      </c>
      <c r="K15" s="1309"/>
      <c r="L15" s="1310"/>
      <c r="M15" s="1311">
        <f t="shared" si="3"/>
        <v>0</v>
      </c>
      <c r="N15" s="529"/>
      <c r="O15" s="1312"/>
      <c r="P15" s="1313">
        <f t="shared" si="0"/>
        <v>0</v>
      </c>
      <c r="Q15" s="1314"/>
      <c r="R15" s="815"/>
      <c r="S15" s="816"/>
      <c r="T15" s="1315"/>
      <c r="U15" s="817" t="str">
        <f>IF(OR(A15&lt;&gt;"",B15&lt;&gt;"",C15&lt;&gt;"",D15&lt;&gt;"",E15&lt;&gt;"",F15&lt;&gt;"",G15&lt;&gt;"",I15&lt;&gt;"",L15&lt;&gt;""),'Admin Sheet'!$B$44,"")</f>
        <v/>
      </c>
      <c r="V15" s="806"/>
      <c r="W15" s="439"/>
    </row>
    <row r="16" spans="1:23" ht="26.25" customHeight="1" x14ac:dyDescent="0.2">
      <c r="A16" s="1306"/>
      <c r="B16" s="1307"/>
      <c r="C16" s="1307"/>
      <c r="D16" s="1307"/>
      <c r="E16" s="1307"/>
      <c r="F16" s="1307"/>
      <c r="G16" s="1307"/>
      <c r="H16" s="1308">
        <f t="shared" si="1"/>
        <v>0</v>
      </c>
      <c r="I16" s="1307"/>
      <c r="J16" s="1308">
        <f t="shared" si="2"/>
        <v>0</v>
      </c>
      <c r="K16" s="1309"/>
      <c r="L16" s="1310"/>
      <c r="M16" s="1311">
        <f t="shared" si="3"/>
        <v>0</v>
      </c>
      <c r="N16" s="529"/>
      <c r="O16" s="1312"/>
      <c r="P16" s="1313">
        <f t="shared" si="0"/>
        <v>0</v>
      </c>
      <c r="Q16" s="1314"/>
      <c r="R16" s="815"/>
      <c r="S16" s="816"/>
      <c r="T16" s="1315"/>
      <c r="U16" s="817" t="str">
        <f>IF(OR(A16&lt;&gt;"",B16&lt;&gt;"",C16&lt;&gt;"",D16&lt;&gt;"",E16&lt;&gt;"",F16&lt;&gt;"",G16&lt;&gt;"",I16&lt;&gt;"",L16&lt;&gt;""),'Admin Sheet'!$B$44,"")</f>
        <v/>
      </c>
      <c r="V16" s="806"/>
      <c r="W16" s="439"/>
    </row>
    <row r="17" spans="1:23" ht="26.25" customHeight="1" x14ac:dyDescent="0.2">
      <c r="A17" s="1306"/>
      <c r="B17" s="1307"/>
      <c r="C17" s="1307"/>
      <c r="D17" s="1307"/>
      <c r="E17" s="1307"/>
      <c r="F17" s="1307"/>
      <c r="G17" s="1307"/>
      <c r="H17" s="1308">
        <f t="shared" si="1"/>
        <v>0</v>
      </c>
      <c r="I17" s="1307"/>
      <c r="J17" s="1308">
        <f t="shared" si="2"/>
        <v>0</v>
      </c>
      <c r="K17" s="1309"/>
      <c r="L17" s="1310"/>
      <c r="M17" s="1311">
        <f t="shared" si="3"/>
        <v>0</v>
      </c>
      <c r="N17" s="529"/>
      <c r="O17" s="1312"/>
      <c r="P17" s="1313">
        <f t="shared" si="0"/>
        <v>0</v>
      </c>
      <c r="Q17" s="1314"/>
      <c r="R17" s="815"/>
      <c r="S17" s="816"/>
      <c r="T17" s="1315"/>
      <c r="U17" s="817" t="str">
        <f>IF(OR(A17&lt;&gt;"",B17&lt;&gt;"",C17&lt;&gt;"",D17&lt;&gt;"",E17&lt;&gt;"",F17&lt;&gt;"",G17&lt;&gt;"",I17&lt;&gt;"",L17&lt;&gt;""),'Admin Sheet'!$B$44,"")</f>
        <v/>
      </c>
      <c r="V17" s="806"/>
      <c r="W17" s="439"/>
    </row>
    <row r="18" spans="1:23" ht="26.25" customHeight="1" x14ac:dyDescent="0.2">
      <c r="A18" s="1306"/>
      <c r="B18" s="1307"/>
      <c r="C18" s="1307"/>
      <c r="D18" s="1307"/>
      <c r="E18" s="1307"/>
      <c r="F18" s="1307"/>
      <c r="G18" s="1307"/>
      <c r="H18" s="1308">
        <f t="shared" si="1"/>
        <v>0</v>
      </c>
      <c r="I18" s="1307"/>
      <c r="J18" s="1308">
        <f t="shared" si="2"/>
        <v>0</v>
      </c>
      <c r="K18" s="1309"/>
      <c r="L18" s="1310"/>
      <c r="M18" s="1311">
        <f t="shared" si="3"/>
        <v>0</v>
      </c>
      <c r="N18" s="529"/>
      <c r="O18" s="1312"/>
      <c r="P18" s="1313">
        <f t="shared" si="0"/>
        <v>0</v>
      </c>
      <c r="Q18" s="1314"/>
      <c r="R18" s="815"/>
      <c r="S18" s="816"/>
      <c r="T18" s="1315"/>
      <c r="U18" s="817" t="str">
        <f>IF(OR(A18&lt;&gt;"",B18&lt;&gt;"",C18&lt;&gt;"",D18&lt;&gt;"",E18&lt;&gt;"",F18&lt;&gt;"",G18&lt;&gt;"",I18&lt;&gt;"",L18&lt;&gt;""),'Admin Sheet'!$B$44,"")</f>
        <v/>
      </c>
      <c r="V18" s="806"/>
      <c r="W18" s="439"/>
    </row>
    <row r="19" spans="1:23" ht="26.25" customHeight="1" x14ac:dyDescent="0.2">
      <c r="A19" s="1306"/>
      <c r="B19" s="1307"/>
      <c r="C19" s="1307"/>
      <c r="D19" s="1307"/>
      <c r="E19" s="1307"/>
      <c r="F19" s="1307"/>
      <c r="G19" s="1307"/>
      <c r="H19" s="1308">
        <f t="shared" si="1"/>
        <v>0</v>
      </c>
      <c r="I19" s="1307"/>
      <c r="J19" s="1308">
        <f t="shared" si="2"/>
        <v>0</v>
      </c>
      <c r="K19" s="1309"/>
      <c r="L19" s="1310"/>
      <c r="M19" s="1311">
        <f t="shared" si="3"/>
        <v>0</v>
      </c>
      <c r="N19" s="529"/>
      <c r="O19" s="1312"/>
      <c r="P19" s="1313">
        <f t="shared" si="0"/>
        <v>0</v>
      </c>
      <c r="Q19" s="1314"/>
      <c r="R19" s="815"/>
      <c r="S19" s="816"/>
      <c r="T19" s="1315"/>
      <c r="U19" s="817" t="str">
        <f>IF(OR(A19&lt;&gt;"",B19&lt;&gt;"",C19&lt;&gt;"",D19&lt;&gt;"",E19&lt;&gt;"",F19&lt;&gt;"",G19&lt;&gt;"",I19&lt;&gt;"",L19&lt;&gt;""),'Admin Sheet'!$B$44,"")</f>
        <v/>
      </c>
      <c r="V19" s="806"/>
      <c r="W19" s="439"/>
    </row>
    <row r="20" spans="1:23" ht="26.25" customHeight="1" x14ac:dyDescent="0.2">
      <c r="A20" s="1306"/>
      <c r="B20" s="1307"/>
      <c r="C20" s="1307"/>
      <c r="D20" s="1307"/>
      <c r="E20" s="1307"/>
      <c r="F20" s="1307"/>
      <c r="G20" s="1307"/>
      <c r="H20" s="1308">
        <f t="shared" si="1"/>
        <v>0</v>
      </c>
      <c r="I20" s="1307"/>
      <c r="J20" s="1308">
        <f t="shared" si="2"/>
        <v>0</v>
      </c>
      <c r="K20" s="1309"/>
      <c r="L20" s="1310"/>
      <c r="M20" s="1311">
        <f t="shared" si="3"/>
        <v>0</v>
      </c>
      <c r="N20" s="529"/>
      <c r="O20" s="1312"/>
      <c r="P20" s="1313">
        <f t="shared" si="0"/>
        <v>0</v>
      </c>
      <c r="Q20" s="1314"/>
      <c r="R20" s="815"/>
      <c r="S20" s="816"/>
      <c r="T20" s="1315"/>
      <c r="U20" s="817" t="str">
        <f>IF(OR(A20&lt;&gt;"",B20&lt;&gt;"",C20&lt;&gt;"",D20&lt;&gt;"",E20&lt;&gt;"",F20&lt;&gt;"",G20&lt;&gt;"",I20&lt;&gt;"",L20&lt;&gt;""),'Admin Sheet'!$B$44,"")</f>
        <v/>
      </c>
      <c r="V20" s="806"/>
      <c r="W20" s="439"/>
    </row>
    <row r="21" spans="1:23" ht="26.25" customHeight="1" x14ac:dyDescent="0.2">
      <c r="A21" s="1306"/>
      <c r="B21" s="1307"/>
      <c r="C21" s="1307"/>
      <c r="D21" s="1307"/>
      <c r="E21" s="1307"/>
      <c r="F21" s="1307"/>
      <c r="G21" s="1307"/>
      <c r="H21" s="1308">
        <f t="shared" si="1"/>
        <v>0</v>
      </c>
      <c r="I21" s="1307"/>
      <c r="J21" s="1308">
        <f t="shared" si="2"/>
        <v>0</v>
      </c>
      <c r="K21" s="1309"/>
      <c r="L21" s="1310"/>
      <c r="M21" s="1311">
        <f t="shared" si="3"/>
        <v>0</v>
      </c>
      <c r="N21" s="529"/>
      <c r="O21" s="1312"/>
      <c r="P21" s="1313">
        <f t="shared" si="0"/>
        <v>0</v>
      </c>
      <c r="Q21" s="1314"/>
      <c r="R21" s="815"/>
      <c r="S21" s="816"/>
      <c r="T21" s="1315"/>
      <c r="U21" s="817" t="str">
        <f>IF(OR(A21&lt;&gt;"",B21&lt;&gt;"",C21&lt;&gt;"",D21&lt;&gt;"",E21&lt;&gt;"",F21&lt;&gt;"",G21&lt;&gt;"",I21&lt;&gt;"",L21&lt;&gt;""),'Admin Sheet'!$B$44,"")</f>
        <v/>
      </c>
      <c r="V21" s="806"/>
      <c r="W21" s="439"/>
    </row>
    <row r="22" spans="1:23" ht="26.25" customHeight="1" x14ac:dyDescent="0.2">
      <c r="A22" s="1306"/>
      <c r="B22" s="1307"/>
      <c r="C22" s="1307"/>
      <c r="D22" s="1307"/>
      <c r="E22" s="1307"/>
      <c r="F22" s="1307"/>
      <c r="G22" s="1307"/>
      <c r="H22" s="1308">
        <f t="shared" si="1"/>
        <v>0</v>
      </c>
      <c r="I22" s="1307"/>
      <c r="J22" s="1308">
        <f t="shared" si="2"/>
        <v>0</v>
      </c>
      <c r="K22" s="1309"/>
      <c r="L22" s="1310"/>
      <c r="M22" s="1311">
        <f t="shared" si="3"/>
        <v>0</v>
      </c>
      <c r="N22" s="529"/>
      <c r="O22" s="1312"/>
      <c r="P22" s="1313">
        <f t="shared" si="0"/>
        <v>0</v>
      </c>
      <c r="Q22" s="1314"/>
      <c r="R22" s="815"/>
      <c r="S22" s="816"/>
      <c r="T22" s="1315"/>
      <c r="U22" s="817" t="str">
        <f>IF(OR(A22&lt;&gt;"",B22&lt;&gt;"",C22&lt;&gt;"",D22&lt;&gt;"",E22&lt;&gt;"",F22&lt;&gt;"",G22&lt;&gt;"",I22&lt;&gt;"",L22&lt;&gt;""),'Admin Sheet'!$B$44,"")</f>
        <v/>
      </c>
      <c r="V22" s="806"/>
      <c r="W22" s="439"/>
    </row>
    <row r="23" spans="1:23" ht="26.25" customHeight="1" x14ac:dyDescent="0.2">
      <c r="A23" s="1306"/>
      <c r="B23" s="1307"/>
      <c r="C23" s="1307"/>
      <c r="D23" s="1307"/>
      <c r="E23" s="1307"/>
      <c r="F23" s="1307"/>
      <c r="G23" s="1307"/>
      <c r="H23" s="1308">
        <f t="shared" si="1"/>
        <v>0</v>
      </c>
      <c r="I23" s="1307"/>
      <c r="J23" s="1308">
        <f t="shared" si="2"/>
        <v>0</v>
      </c>
      <c r="K23" s="1309"/>
      <c r="L23" s="1310"/>
      <c r="M23" s="1311">
        <f t="shared" si="3"/>
        <v>0</v>
      </c>
      <c r="N23" s="529"/>
      <c r="O23" s="1312"/>
      <c r="P23" s="1313">
        <f t="shared" si="0"/>
        <v>0</v>
      </c>
      <c r="Q23" s="1314"/>
      <c r="R23" s="815"/>
      <c r="S23" s="816"/>
      <c r="T23" s="1315"/>
      <c r="U23" s="817" t="str">
        <f>IF(OR(A23&lt;&gt;"",B23&lt;&gt;"",C23&lt;&gt;"",D23&lt;&gt;"",E23&lt;&gt;"",F23&lt;&gt;"",G23&lt;&gt;"",I23&lt;&gt;"",L23&lt;&gt;""),'Admin Sheet'!$B$44,"")</f>
        <v/>
      </c>
      <c r="V23" s="806"/>
      <c r="W23" s="439"/>
    </row>
    <row r="24" spans="1:23" ht="26.25" customHeight="1" x14ac:dyDescent="0.2">
      <c r="A24" s="1306"/>
      <c r="B24" s="1307"/>
      <c r="C24" s="1307"/>
      <c r="D24" s="1307"/>
      <c r="E24" s="1307"/>
      <c r="F24" s="1307"/>
      <c r="G24" s="1307"/>
      <c r="H24" s="1308">
        <f t="shared" si="1"/>
        <v>0</v>
      </c>
      <c r="I24" s="1307"/>
      <c r="J24" s="1308">
        <f t="shared" si="2"/>
        <v>0</v>
      </c>
      <c r="K24" s="1309"/>
      <c r="L24" s="1310"/>
      <c r="M24" s="1311">
        <f t="shared" si="3"/>
        <v>0</v>
      </c>
      <c r="N24" s="529"/>
      <c r="O24" s="1312"/>
      <c r="P24" s="1313">
        <f t="shared" si="0"/>
        <v>0</v>
      </c>
      <c r="Q24" s="1314"/>
      <c r="R24" s="815"/>
      <c r="S24" s="816"/>
      <c r="T24" s="1315"/>
      <c r="U24" s="817" t="str">
        <f>IF(OR(A24&lt;&gt;"",B24&lt;&gt;"",C24&lt;&gt;"",D24&lt;&gt;"",E24&lt;&gt;"",F24&lt;&gt;"",G24&lt;&gt;"",I24&lt;&gt;"",L24&lt;&gt;""),'Admin Sheet'!$B$44,"")</f>
        <v/>
      </c>
      <c r="V24" s="806"/>
      <c r="W24" s="439"/>
    </row>
    <row r="25" spans="1:23" ht="26.25" customHeight="1" x14ac:dyDescent="0.2">
      <c r="A25" s="1306"/>
      <c r="B25" s="1307"/>
      <c r="C25" s="1307"/>
      <c r="D25" s="1307"/>
      <c r="E25" s="1307"/>
      <c r="F25" s="1307"/>
      <c r="G25" s="1307"/>
      <c r="H25" s="1308">
        <f t="shared" si="1"/>
        <v>0</v>
      </c>
      <c r="I25" s="1307"/>
      <c r="J25" s="1308">
        <f t="shared" si="2"/>
        <v>0</v>
      </c>
      <c r="K25" s="1309"/>
      <c r="L25" s="1310"/>
      <c r="M25" s="1311">
        <f t="shared" si="3"/>
        <v>0</v>
      </c>
      <c r="N25" s="529"/>
      <c r="O25" s="1312"/>
      <c r="P25" s="1313">
        <f t="shared" si="0"/>
        <v>0</v>
      </c>
      <c r="Q25" s="1314"/>
      <c r="R25" s="815"/>
      <c r="S25" s="816"/>
      <c r="T25" s="1315"/>
      <c r="U25" s="817" t="str">
        <f>IF(OR(A25&lt;&gt;"",B25&lt;&gt;"",C25&lt;&gt;"",D25&lt;&gt;"",E25&lt;&gt;"",F25&lt;&gt;"",G25&lt;&gt;"",I25&lt;&gt;"",L25&lt;&gt;""),'Admin Sheet'!$B$44,"")</f>
        <v/>
      </c>
      <c r="V25" s="806"/>
      <c r="W25" s="439"/>
    </row>
    <row r="26" spans="1:23" ht="26.25" customHeight="1" x14ac:dyDescent="0.2">
      <c r="A26" s="1306"/>
      <c r="B26" s="1307"/>
      <c r="C26" s="1307"/>
      <c r="D26" s="1307"/>
      <c r="E26" s="1307"/>
      <c r="F26" s="1307"/>
      <c r="G26" s="1307"/>
      <c r="H26" s="1308">
        <f t="shared" si="1"/>
        <v>0</v>
      </c>
      <c r="I26" s="1307"/>
      <c r="J26" s="1308">
        <f t="shared" si="2"/>
        <v>0</v>
      </c>
      <c r="K26" s="1309"/>
      <c r="L26" s="1310"/>
      <c r="M26" s="1311">
        <f t="shared" si="3"/>
        <v>0</v>
      </c>
      <c r="N26" s="529"/>
      <c r="O26" s="1312"/>
      <c r="P26" s="1313">
        <f t="shared" si="0"/>
        <v>0</v>
      </c>
      <c r="Q26" s="1314"/>
      <c r="R26" s="815"/>
      <c r="S26" s="816"/>
      <c r="T26" s="1315"/>
      <c r="U26" s="817" t="str">
        <f>IF(OR(A26&lt;&gt;"",B26&lt;&gt;"",C26&lt;&gt;"",D26&lt;&gt;"",E26&lt;&gt;"",F26&lt;&gt;"",G26&lt;&gt;"",I26&lt;&gt;"",L26&lt;&gt;""),'Admin Sheet'!$B$44,"")</f>
        <v/>
      </c>
      <c r="V26" s="806"/>
      <c r="W26" s="439"/>
    </row>
    <row r="27" spans="1:23" ht="26.25" customHeight="1" x14ac:dyDescent="0.2">
      <c r="A27" s="1306"/>
      <c r="B27" s="1307"/>
      <c r="C27" s="1307"/>
      <c r="D27" s="1307"/>
      <c r="E27" s="1307"/>
      <c r="F27" s="1307"/>
      <c r="G27" s="1307"/>
      <c r="H27" s="1308">
        <f t="shared" si="1"/>
        <v>0</v>
      </c>
      <c r="I27" s="1307"/>
      <c r="J27" s="1308">
        <f t="shared" si="2"/>
        <v>0</v>
      </c>
      <c r="K27" s="1309"/>
      <c r="L27" s="1310"/>
      <c r="M27" s="1311">
        <f t="shared" si="3"/>
        <v>0</v>
      </c>
      <c r="N27" s="529"/>
      <c r="O27" s="1312"/>
      <c r="P27" s="1313">
        <f t="shared" si="0"/>
        <v>0</v>
      </c>
      <c r="Q27" s="1314"/>
      <c r="R27" s="815"/>
      <c r="S27" s="816"/>
      <c r="T27" s="1315"/>
      <c r="U27" s="817" t="str">
        <f>IF(OR(A27&lt;&gt;"",B27&lt;&gt;"",C27&lt;&gt;"",D27&lt;&gt;"",E27&lt;&gt;"",F27&lt;&gt;"",G27&lt;&gt;"",I27&lt;&gt;"",L27&lt;&gt;""),'Admin Sheet'!$B$44,"")</f>
        <v/>
      </c>
      <c r="V27" s="806"/>
      <c r="W27" s="439"/>
    </row>
    <row r="28" spans="1:23" ht="26.25" customHeight="1" x14ac:dyDescent="0.2">
      <c r="A28" s="1306"/>
      <c r="B28" s="1307"/>
      <c r="C28" s="1307"/>
      <c r="D28" s="1307"/>
      <c r="E28" s="1307"/>
      <c r="F28" s="1307"/>
      <c r="G28" s="1307"/>
      <c r="H28" s="1308">
        <f t="shared" si="1"/>
        <v>0</v>
      </c>
      <c r="I28" s="1307"/>
      <c r="J28" s="1308">
        <f t="shared" si="2"/>
        <v>0</v>
      </c>
      <c r="K28" s="1309"/>
      <c r="L28" s="1310"/>
      <c r="M28" s="1311">
        <f t="shared" si="3"/>
        <v>0</v>
      </c>
      <c r="N28" s="529"/>
      <c r="O28" s="1312"/>
      <c r="P28" s="1313">
        <f t="shared" si="0"/>
        <v>0</v>
      </c>
      <c r="Q28" s="1314"/>
      <c r="R28" s="815"/>
      <c r="S28" s="816"/>
      <c r="T28" s="1315"/>
      <c r="U28" s="817" t="str">
        <f>IF(OR(A28&lt;&gt;"",B28&lt;&gt;"",C28&lt;&gt;"",D28&lt;&gt;"",E28&lt;&gt;"",F28&lt;&gt;"",G28&lt;&gt;"",I28&lt;&gt;"",L28&lt;&gt;""),'Admin Sheet'!$B$44,"")</f>
        <v/>
      </c>
      <c r="V28" s="806"/>
      <c r="W28" s="439"/>
    </row>
    <row r="29" spans="1:23" ht="26.25" customHeight="1" x14ac:dyDescent="0.2">
      <c r="A29" s="1306"/>
      <c r="B29" s="1307"/>
      <c r="C29" s="1307"/>
      <c r="D29" s="1307"/>
      <c r="E29" s="1307"/>
      <c r="F29" s="1307"/>
      <c r="G29" s="1307"/>
      <c r="H29" s="1308">
        <f t="shared" si="1"/>
        <v>0</v>
      </c>
      <c r="I29" s="1307"/>
      <c r="J29" s="1308">
        <f t="shared" si="2"/>
        <v>0</v>
      </c>
      <c r="K29" s="1309"/>
      <c r="L29" s="1310"/>
      <c r="M29" s="1311">
        <f t="shared" si="3"/>
        <v>0</v>
      </c>
      <c r="N29" s="529"/>
      <c r="O29" s="1312"/>
      <c r="P29" s="1313">
        <f t="shared" si="0"/>
        <v>0</v>
      </c>
      <c r="Q29" s="1314"/>
      <c r="R29" s="815"/>
      <c r="S29" s="816"/>
      <c r="T29" s="1315"/>
      <c r="U29" s="817" t="str">
        <f>IF(OR(A29&lt;&gt;"",B29&lt;&gt;"",C29&lt;&gt;"",D29&lt;&gt;"",E29&lt;&gt;"",F29&lt;&gt;"",G29&lt;&gt;"",I29&lt;&gt;"",L29&lt;&gt;""),'Admin Sheet'!$B$44,"")</f>
        <v/>
      </c>
      <c r="V29" s="806"/>
      <c r="W29" s="439"/>
    </row>
    <row r="30" spans="1:23" ht="26.25" customHeight="1" x14ac:dyDescent="0.2">
      <c r="A30" s="1306"/>
      <c r="B30" s="1307"/>
      <c r="C30" s="1307"/>
      <c r="D30" s="1307"/>
      <c r="E30" s="1307"/>
      <c r="F30" s="1307"/>
      <c r="G30" s="1307"/>
      <c r="H30" s="1308">
        <f t="shared" si="1"/>
        <v>0</v>
      </c>
      <c r="I30" s="1307"/>
      <c r="J30" s="1308">
        <f t="shared" si="2"/>
        <v>0</v>
      </c>
      <c r="K30" s="1309"/>
      <c r="L30" s="1310"/>
      <c r="M30" s="1311">
        <f t="shared" si="3"/>
        <v>0</v>
      </c>
      <c r="N30" s="529"/>
      <c r="O30" s="1312"/>
      <c r="P30" s="1313">
        <f t="shared" si="0"/>
        <v>0</v>
      </c>
      <c r="Q30" s="1314"/>
      <c r="R30" s="815"/>
      <c r="S30" s="816"/>
      <c r="T30" s="1315"/>
      <c r="U30" s="817" t="str">
        <f>IF(OR(A30&lt;&gt;"",B30&lt;&gt;"",C30&lt;&gt;"",D30&lt;&gt;"",E30&lt;&gt;"",F30&lt;&gt;"",G30&lt;&gt;"",I30&lt;&gt;"",L30&lt;&gt;""),'Admin Sheet'!$B$44,"")</f>
        <v/>
      </c>
      <c r="V30" s="806"/>
      <c r="W30" s="439"/>
    </row>
    <row r="31" spans="1:23" ht="26.25" customHeight="1" x14ac:dyDescent="0.2">
      <c r="A31" s="1306"/>
      <c r="B31" s="1307"/>
      <c r="C31" s="1307"/>
      <c r="D31" s="1307"/>
      <c r="E31" s="1307"/>
      <c r="F31" s="1307"/>
      <c r="G31" s="1307"/>
      <c r="H31" s="1308">
        <f t="shared" si="1"/>
        <v>0</v>
      </c>
      <c r="I31" s="1307"/>
      <c r="J31" s="1308">
        <f t="shared" si="2"/>
        <v>0</v>
      </c>
      <c r="K31" s="1309"/>
      <c r="L31" s="1310"/>
      <c r="M31" s="1311">
        <f t="shared" si="3"/>
        <v>0</v>
      </c>
      <c r="N31" s="529"/>
      <c r="O31" s="1312"/>
      <c r="P31" s="1313">
        <f t="shared" si="0"/>
        <v>0</v>
      </c>
      <c r="Q31" s="1314"/>
      <c r="R31" s="815"/>
      <c r="S31" s="816"/>
      <c r="T31" s="1315"/>
      <c r="U31" s="817" t="str">
        <f>IF(OR(A31&lt;&gt;"",B31&lt;&gt;"",C31&lt;&gt;"",D31&lt;&gt;"",E31&lt;&gt;"",F31&lt;&gt;"",G31&lt;&gt;"",I31&lt;&gt;"",L31&lt;&gt;""),'Admin Sheet'!$B$44,"")</f>
        <v/>
      </c>
      <c r="V31" s="806"/>
      <c r="W31" s="439"/>
    </row>
    <row r="32" spans="1:23" ht="26.25" customHeight="1" x14ac:dyDescent="0.2">
      <c r="A32" s="1306"/>
      <c r="B32" s="1307"/>
      <c r="C32" s="1307"/>
      <c r="D32" s="1307"/>
      <c r="E32" s="1307"/>
      <c r="F32" s="1307"/>
      <c r="G32" s="1307"/>
      <c r="H32" s="1308">
        <f t="shared" si="1"/>
        <v>0</v>
      </c>
      <c r="I32" s="1307"/>
      <c r="J32" s="1308">
        <f t="shared" si="2"/>
        <v>0</v>
      </c>
      <c r="K32" s="1309"/>
      <c r="L32" s="1310"/>
      <c r="M32" s="1311">
        <f t="shared" si="3"/>
        <v>0</v>
      </c>
      <c r="N32" s="529"/>
      <c r="O32" s="1312"/>
      <c r="P32" s="1313">
        <f t="shared" si="0"/>
        <v>0</v>
      </c>
      <c r="Q32" s="1314"/>
      <c r="R32" s="815"/>
      <c r="S32" s="816"/>
      <c r="T32" s="1315"/>
      <c r="U32" s="817" t="str">
        <f>IF(OR(A32&lt;&gt;"",B32&lt;&gt;"",C32&lt;&gt;"",D32&lt;&gt;"",E32&lt;&gt;"",F32&lt;&gt;"",G32&lt;&gt;"",I32&lt;&gt;"",L32&lt;&gt;""),'Admin Sheet'!$B$44,"")</f>
        <v/>
      </c>
      <c r="V32" s="806"/>
      <c r="W32" s="439"/>
    </row>
    <row r="33" spans="1:23" ht="26.25" customHeight="1" x14ac:dyDescent="0.2">
      <c r="A33" s="1306"/>
      <c r="B33" s="1307"/>
      <c r="C33" s="1307"/>
      <c r="D33" s="1307"/>
      <c r="E33" s="1307"/>
      <c r="F33" s="1307"/>
      <c r="G33" s="1307"/>
      <c r="H33" s="1308">
        <f t="shared" si="1"/>
        <v>0</v>
      </c>
      <c r="I33" s="1307"/>
      <c r="J33" s="1308">
        <f t="shared" si="2"/>
        <v>0</v>
      </c>
      <c r="K33" s="1309"/>
      <c r="L33" s="1310"/>
      <c r="M33" s="1311">
        <f t="shared" si="3"/>
        <v>0</v>
      </c>
      <c r="N33" s="529"/>
      <c r="O33" s="1312"/>
      <c r="P33" s="1313">
        <f t="shared" si="0"/>
        <v>0</v>
      </c>
      <c r="Q33" s="1314"/>
      <c r="R33" s="815"/>
      <c r="S33" s="816"/>
      <c r="T33" s="1315"/>
      <c r="U33" s="817" t="str">
        <f>IF(OR(A33&lt;&gt;"",B33&lt;&gt;"",C33&lt;&gt;"",D33&lt;&gt;"",E33&lt;&gt;"",F33&lt;&gt;"",G33&lt;&gt;"",I33&lt;&gt;"",L33&lt;&gt;""),'Admin Sheet'!$B$44,"")</f>
        <v/>
      </c>
      <c r="V33" s="806"/>
      <c r="W33" s="439"/>
    </row>
    <row r="34" spans="1:23" ht="26.25" customHeight="1" x14ac:dyDescent="0.2">
      <c r="A34" s="1306"/>
      <c r="B34" s="1307"/>
      <c r="C34" s="1307"/>
      <c r="D34" s="1307"/>
      <c r="E34" s="1307"/>
      <c r="F34" s="1307"/>
      <c r="G34" s="1307"/>
      <c r="H34" s="1308">
        <f t="shared" si="1"/>
        <v>0</v>
      </c>
      <c r="I34" s="1307"/>
      <c r="J34" s="1308">
        <f t="shared" si="2"/>
        <v>0</v>
      </c>
      <c r="K34" s="1309"/>
      <c r="L34" s="1310"/>
      <c r="M34" s="1311">
        <f t="shared" si="3"/>
        <v>0</v>
      </c>
      <c r="N34" s="529"/>
      <c r="O34" s="1312"/>
      <c r="P34" s="1313">
        <f t="shared" si="0"/>
        <v>0</v>
      </c>
      <c r="Q34" s="1314"/>
      <c r="R34" s="815"/>
      <c r="S34" s="816"/>
      <c r="T34" s="1315"/>
      <c r="U34" s="817" t="str">
        <f>IF(OR(A34&lt;&gt;"",B34&lt;&gt;"",C34&lt;&gt;"",D34&lt;&gt;"",E34&lt;&gt;"",F34&lt;&gt;"",G34&lt;&gt;"",I34&lt;&gt;"",L34&lt;&gt;""),'Admin Sheet'!$B$44,"")</f>
        <v/>
      </c>
      <c r="V34" s="806"/>
      <c r="W34" s="439"/>
    </row>
    <row r="35" spans="1:23" ht="26.25" customHeight="1" x14ac:dyDescent="0.2">
      <c r="A35" s="1306"/>
      <c r="B35" s="1307"/>
      <c r="C35" s="1307"/>
      <c r="D35" s="1307"/>
      <c r="E35" s="1307"/>
      <c r="F35" s="1307"/>
      <c r="G35" s="1307"/>
      <c r="H35" s="1308">
        <f t="shared" si="1"/>
        <v>0</v>
      </c>
      <c r="I35" s="1307"/>
      <c r="J35" s="1308">
        <f t="shared" si="2"/>
        <v>0</v>
      </c>
      <c r="K35" s="1309"/>
      <c r="L35" s="1310"/>
      <c r="M35" s="1311">
        <f t="shared" si="3"/>
        <v>0</v>
      </c>
      <c r="N35" s="529"/>
      <c r="O35" s="1312"/>
      <c r="P35" s="1313">
        <f t="shared" si="0"/>
        <v>0</v>
      </c>
      <c r="Q35" s="1314"/>
      <c r="R35" s="815"/>
      <c r="S35" s="816"/>
      <c r="T35" s="1315"/>
      <c r="U35" s="817" t="str">
        <f>IF(OR(A35&lt;&gt;"",B35&lt;&gt;"",C35&lt;&gt;"",D35&lt;&gt;"",E35&lt;&gt;"",F35&lt;&gt;"",G35&lt;&gt;"",I35&lt;&gt;"",L35&lt;&gt;""),'Admin Sheet'!$B$44,"")</f>
        <v/>
      </c>
      <c r="V35" s="806"/>
      <c r="W35" s="439"/>
    </row>
    <row r="36" spans="1:23" ht="26.25" customHeight="1" x14ac:dyDescent="0.2">
      <c r="A36" s="1306"/>
      <c r="B36" s="1307"/>
      <c r="C36" s="1307"/>
      <c r="D36" s="1307"/>
      <c r="E36" s="1307"/>
      <c r="F36" s="1307"/>
      <c r="G36" s="1307"/>
      <c r="H36" s="1308">
        <f t="shared" si="1"/>
        <v>0</v>
      </c>
      <c r="I36" s="1307"/>
      <c r="J36" s="1308">
        <f t="shared" si="2"/>
        <v>0</v>
      </c>
      <c r="K36" s="1309"/>
      <c r="L36" s="1310"/>
      <c r="M36" s="1311">
        <f t="shared" si="3"/>
        <v>0</v>
      </c>
      <c r="N36" s="529"/>
      <c r="O36" s="1312"/>
      <c r="P36" s="1313">
        <f t="shared" si="0"/>
        <v>0</v>
      </c>
      <c r="Q36" s="1314"/>
      <c r="R36" s="815"/>
      <c r="S36" s="816"/>
      <c r="T36" s="1315"/>
      <c r="U36" s="817" t="str">
        <f>IF(OR(A36&lt;&gt;"",B36&lt;&gt;"",C36&lt;&gt;"",D36&lt;&gt;"",E36&lt;&gt;"",F36&lt;&gt;"",G36&lt;&gt;"",I36&lt;&gt;"",L36&lt;&gt;""),'Admin Sheet'!$B$44,"")</f>
        <v/>
      </c>
      <c r="V36" s="806"/>
      <c r="W36" s="439"/>
    </row>
    <row r="37" spans="1:23" ht="26.25" customHeight="1" x14ac:dyDescent="0.2">
      <c r="A37" s="1306"/>
      <c r="B37" s="1307"/>
      <c r="C37" s="1307"/>
      <c r="D37" s="1307"/>
      <c r="E37" s="1307"/>
      <c r="F37" s="1307"/>
      <c r="G37" s="1307"/>
      <c r="H37" s="1308">
        <f t="shared" si="1"/>
        <v>0</v>
      </c>
      <c r="I37" s="1307"/>
      <c r="J37" s="1308">
        <f t="shared" si="2"/>
        <v>0</v>
      </c>
      <c r="K37" s="1309"/>
      <c r="L37" s="1310"/>
      <c r="M37" s="1311">
        <f t="shared" si="3"/>
        <v>0</v>
      </c>
      <c r="N37" s="529"/>
      <c r="O37" s="1312"/>
      <c r="P37" s="1313">
        <f t="shared" si="0"/>
        <v>0</v>
      </c>
      <c r="Q37" s="1314"/>
      <c r="R37" s="815"/>
      <c r="S37" s="816"/>
      <c r="T37" s="1315"/>
      <c r="U37" s="817" t="str">
        <f>IF(OR(A37&lt;&gt;"",B37&lt;&gt;"",C37&lt;&gt;"",D37&lt;&gt;"",E37&lt;&gt;"",F37&lt;&gt;"",G37&lt;&gt;"",I37&lt;&gt;"",L37&lt;&gt;""),'Admin Sheet'!$B$44,"")</f>
        <v/>
      </c>
      <c r="V37" s="806"/>
      <c r="W37" s="439"/>
    </row>
    <row r="38" spans="1:23" ht="26.25" customHeight="1" x14ac:dyDescent="0.2">
      <c r="A38" s="1306"/>
      <c r="B38" s="1307"/>
      <c r="C38" s="1307"/>
      <c r="D38" s="1307"/>
      <c r="E38" s="1307"/>
      <c r="F38" s="1307"/>
      <c r="G38" s="1307"/>
      <c r="H38" s="1308">
        <f t="shared" si="1"/>
        <v>0</v>
      </c>
      <c r="I38" s="1307"/>
      <c r="J38" s="1308">
        <f t="shared" si="2"/>
        <v>0</v>
      </c>
      <c r="K38" s="1309"/>
      <c r="L38" s="1310"/>
      <c r="M38" s="1311">
        <f t="shared" si="3"/>
        <v>0</v>
      </c>
      <c r="N38" s="529"/>
      <c r="O38" s="1312"/>
      <c r="P38" s="1313">
        <f t="shared" si="0"/>
        <v>0</v>
      </c>
      <c r="Q38" s="1314"/>
      <c r="R38" s="815"/>
      <c r="S38" s="816"/>
      <c r="T38" s="1315"/>
      <c r="U38" s="817" t="str">
        <f>IF(OR(A38&lt;&gt;"",B38&lt;&gt;"",C38&lt;&gt;"",D38&lt;&gt;"",E38&lt;&gt;"",F38&lt;&gt;"",G38&lt;&gt;"",I38&lt;&gt;"",L38&lt;&gt;""),'Admin Sheet'!$B$44,"")</f>
        <v/>
      </c>
      <c r="V38" s="806"/>
      <c r="W38" s="439"/>
    </row>
    <row r="39" spans="1:23" ht="26.25" customHeight="1" x14ac:dyDescent="0.2">
      <c r="A39" s="1306"/>
      <c r="B39" s="1307"/>
      <c r="C39" s="1307"/>
      <c r="D39" s="1307"/>
      <c r="E39" s="1307"/>
      <c r="F39" s="1307"/>
      <c r="G39" s="1307"/>
      <c r="H39" s="1308">
        <f t="shared" si="1"/>
        <v>0</v>
      </c>
      <c r="I39" s="1307"/>
      <c r="J39" s="1308">
        <f t="shared" si="2"/>
        <v>0</v>
      </c>
      <c r="K39" s="1309"/>
      <c r="L39" s="1310"/>
      <c r="M39" s="1311">
        <f t="shared" si="3"/>
        <v>0</v>
      </c>
      <c r="N39" s="529"/>
      <c r="O39" s="1312"/>
      <c r="P39" s="1313">
        <f t="shared" si="0"/>
        <v>0</v>
      </c>
      <c r="Q39" s="1314"/>
      <c r="R39" s="815"/>
      <c r="S39" s="816"/>
      <c r="T39" s="1315"/>
      <c r="U39" s="817" t="str">
        <f>IF(OR(A39&lt;&gt;"",B39&lt;&gt;"",C39&lt;&gt;"",D39&lt;&gt;"",E39&lt;&gt;"",F39&lt;&gt;"",G39&lt;&gt;"",I39&lt;&gt;"",L39&lt;&gt;""),'Admin Sheet'!$B$44,"")</f>
        <v/>
      </c>
      <c r="V39" s="806"/>
      <c r="W39" s="439"/>
    </row>
    <row r="40" spans="1:23" ht="26.25" customHeight="1" x14ac:dyDescent="0.2">
      <c r="A40" s="1306"/>
      <c r="B40" s="1307"/>
      <c r="C40" s="1307"/>
      <c r="D40" s="1307"/>
      <c r="E40" s="1307"/>
      <c r="F40" s="1307"/>
      <c r="G40" s="1307"/>
      <c r="H40" s="1308">
        <f t="shared" si="1"/>
        <v>0</v>
      </c>
      <c r="I40" s="1307"/>
      <c r="J40" s="1308">
        <f t="shared" si="2"/>
        <v>0</v>
      </c>
      <c r="K40" s="1309"/>
      <c r="L40" s="1310"/>
      <c r="M40" s="1311">
        <f t="shared" si="3"/>
        <v>0</v>
      </c>
      <c r="N40" s="529"/>
      <c r="O40" s="1312"/>
      <c r="P40" s="1313">
        <f t="shared" si="0"/>
        <v>0</v>
      </c>
      <c r="Q40" s="1314"/>
      <c r="R40" s="815"/>
      <c r="S40" s="816"/>
      <c r="T40" s="1315"/>
      <c r="U40" s="817" t="str">
        <f>IF(OR(A40&lt;&gt;"",B40&lt;&gt;"",C40&lt;&gt;"",D40&lt;&gt;"",E40&lt;&gt;"",F40&lt;&gt;"",G40&lt;&gt;"",I40&lt;&gt;"",L40&lt;&gt;""),'Admin Sheet'!$B$44,"")</f>
        <v/>
      </c>
      <c r="V40" s="806"/>
      <c r="W40" s="439"/>
    </row>
    <row r="41" spans="1:23" ht="26.25" customHeight="1" x14ac:dyDescent="0.2">
      <c r="A41" s="1306"/>
      <c r="B41" s="1307"/>
      <c r="C41" s="1307"/>
      <c r="D41" s="1307"/>
      <c r="E41" s="1307"/>
      <c r="F41" s="1307"/>
      <c r="G41" s="1307"/>
      <c r="H41" s="1308">
        <f t="shared" si="1"/>
        <v>0</v>
      </c>
      <c r="I41" s="1307"/>
      <c r="J41" s="1308">
        <f t="shared" si="2"/>
        <v>0</v>
      </c>
      <c r="K41" s="1309"/>
      <c r="L41" s="1310"/>
      <c r="M41" s="1311">
        <f t="shared" si="3"/>
        <v>0</v>
      </c>
      <c r="N41" s="529"/>
      <c r="O41" s="1312"/>
      <c r="P41" s="1313">
        <f t="shared" si="0"/>
        <v>0</v>
      </c>
      <c r="Q41" s="1314"/>
      <c r="R41" s="815"/>
      <c r="S41" s="816"/>
      <c r="T41" s="1315"/>
      <c r="U41" s="817" t="str">
        <f>IF(OR(A41&lt;&gt;"",B41&lt;&gt;"",C41&lt;&gt;"",D41&lt;&gt;"",E41&lt;&gt;"",F41&lt;&gt;"",G41&lt;&gt;"",I41&lt;&gt;"",L41&lt;&gt;""),'Admin Sheet'!$B$44,"")</f>
        <v/>
      </c>
      <c r="V41" s="806"/>
      <c r="W41" s="439"/>
    </row>
    <row r="42" spans="1:23" ht="26.25" customHeight="1" x14ac:dyDescent="0.2">
      <c r="A42" s="1306"/>
      <c r="B42" s="1307"/>
      <c r="C42" s="1307"/>
      <c r="D42" s="1307"/>
      <c r="E42" s="1307"/>
      <c r="F42" s="1307"/>
      <c r="G42" s="1307"/>
      <c r="H42" s="1308">
        <f t="shared" si="1"/>
        <v>0</v>
      </c>
      <c r="I42" s="1307"/>
      <c r="J42" s="1308">
        <f t="shared" si="2"/>
        <v>0</v>
      </c>
      <c r="K42" s="1309"/>
      <c r="L42" s="1310"/>
      <c r="M42" s="1311">
        <f t="shared" si="3"/>
        <v>0</v>
      </c>
      <c r="N42" s="529"/>
      <c r="O42" s="1312"/>
      <c r="P42" s="1313">
        <f t="shared" si="0"/>
        <v>0</v>
      </c>
      <c r="Q42" s="1314"/>
      <c r="R42" s="815"/>
      <c r="S42" s="816"/>
      <c r="T42" s="1315"/>
      <c r="U42" s="817" t="str">
        <f>IF(OR(A42&lt;&gt;"",B42&lt;&gt;"",C42&lt;&gt;"",D42&lt;&gt;"",E42&lt;&gt;"",F42&lt;&gt;"",G42&lt;&gt;"",I42&lt;&gt;"",L42&lt;&gt;""),'Admin Sheet'!$B$44,"")</f>
        <v/>
      </c>
      <c r="V42" s="806"/>
      <c r="W42" s="439"/>
    </row>
    <row r="43" spans="1:23" ht="26.25" customHeight="1" x14ac:dyDescent="0.2">
      <c r="A43" s="1306"/>
      <c r="B43" s="1307"/>
      <c r="C43" s="1307"/>
      <c r="D43" s="1307"/>
      <c r="E43" s="1307"/>
      <c r="F43" s="1307"/>
      <c r="G43" s="1307"/>
      <c r="H43" s="1308">
        <f t="shared" si="1"/>
        <v>0</v>
      </c>
      <c r="I43" s="1307"/>
      <c r="J43" s="1308">
        <f t="shared" si="2"/>
        <v>0</v>
      </c>
      <c r="K43" s="1309"/>
      <c r="L43" s="1310"/>
      <c r="M43" s="1311">
        <f t="shared" si="3"/>
        <v>0</v>
      </c>
      <c r="N43" s="529"/>
      <c r="O43" s="1312"/>
      <c r="P43" s="1313">
        <f t="shared" si="0"/>
        <v>0</v>
      </c>
      <c r="Q43" s="1314"/>
      <c r="R43" s="815"/>
      <c r="S43" s="816"/>
      <c r="T43" s="1315"/>
      <c r="U43" s="817" t="str">
        <f>IF(OR(A43&lt;&gt;"",B43&lt;&gt;"",C43&lt;&gt;"",D43&lt;&gt;"",E43&lt;&gt;"",F43&lt;&gt;"",G43&lt;&gt;"",I43&lt;&gt;"",L43&lt;&gt;""),'Admin Sheet'!$B$44,"")</f>
        <v/>
      </c>
      <c r="V43" s="806"/>
      <c r="W43" s="439"/>
    </row>
    <row r="44" spans="1:23" ht="26.25" customHeight="1" x14ac:dyDescent="0.2">
      <c r="A44" s="1306"/>
      <c r="B44" s="1307"/>
      <c r="C44" s="1307"/>
      <c r="D44" s="1307"/>
      <c r="E44" s="1307"/>
      <c r="F44" s="1307"/>
      <c r="G44" s="1307"/>
      <c r="H44" s="1308">
        <f t="shared" si="1"/>
        <v>0</v>
      </c>
      <c r="I44" s="1307"/>
      <c r="J44" s="1308">
        <f t="shared" si="2"/>
        <v>0</v>
      </c>
      <c r="K44" s="1309"/>
      <c r="L44" s="1310"/>
      <c r="M44" s="1311">
        <f t="shared" si="3"/>
        <v>0</v>
      </c>
      <c r="N44" s="529"/>
      <c r="O44" s="1312"/>
      <c r="P44" s="1313">
        <f t="shared" si="0"/>
        <v>0</v>
      </c>
      <c r="Q44" s="1314"/>
      <c r="R44" s="815"/>
      <c r="S44" s="816"/>
      <c r="T44" s="1315"/>
      <c r="U44" s="817" t="str">
        <f>IF(OR(A44&lt;&gt;"",B44&lt;&gt;"",C44&lt;&gt;"",D44&lt;&gt;"",E44&lt;&gt;"",F44&lt;&gt;"",G44&lt;&gt;"",I44&lt;&gt;"",L44&lt;&gt;""),'Admin Sheet'!$B$44,"")</f>
        <v/>
      </c>
      <c r="V44" s="806"/>
      <c r="W44" s="439"/>
    </row>
    <row r="45" spans="1:23" ht="26.25" customHeight="1" x14ac:dyDescent="0.2">
      <c r="A45" s="1306"/>
      <c r="B45" s="1307"/>
      <c r="C45" s="1307"/>
      <c r="D45" s="1307"/>
      <c r="E45" s="1307"/>
      <c r="F45" s="1307"/>
      <c r="G45" s="1307"/>
      <c r="H45" s="1308">
        <f t="shared" si="1"/>
        <v>0</v>
      </c>
      <c r="I45" s="1307"/>
      <c r="J45" s="1308">
        <f t="shared" si="2"/>
        <v>0</v>
      </c>
      <c r="K45" s="1309"/>
      <c r="L45" s="1310"/>
      <c r="M45" s="1311">
        <f t="shared" si="3"/>
        <v>0</v>
      </c>
      <c r="N45" s="529"/>
      <c r="O45" s="1312"/>
      <c r="P45" s="1313">
        <f t="shared" si="0"/>
        <v>0</v>
      </c>
      <c r="Q45" s="1314"/>
      <c r="R45" s="815"/>
      <c r="S45" s="816"/>
      <c r="T45" s="1315"/>
      <c r="U45" s="817" t="str">
        <f>IF(OR(A45&lt;&gt;"",B45&lt;&gt;"",C45&lt;&gt;"",D45&lt;&gt;"",E45&lt;&gt;"",F45&lt;&gt;"",G45&lt;&gt;"",I45&lt;&gt;"",L45&lt;&gt;""),'Admin Sheet'!$B$44,"")</f>
        <v/>
      </c>
      <c r="V45" s="806"/>
      <c r="W45" s="439"/>
    </row>
    <row r="46" spans="1:23" ht="26.25" customHeight="1" x14ac:dyDescent="0.2">
      <c r="A46" s="1306"/>
      <c r="B46" s="1307"/>
      <c r="C46" s="1307"/>
      <c r="D46" s="1307"/>
      <c r="E46" s="1307"/>
      <c r="F46" s="1307"/>
      <c r="G46" s="1307"/>
      <c r="H46" s="1308">
        <f t="shared" si="1"/>
        <v>0</v>
      </c>
      <c r="I46" s="1307"/>
      <c r="J46" s="1308">
        <f t="shared" si="2"/>
        <v>0</v>
      </c>
      <c r="K46" s="1309"/>
      <c r="L46" s="1310"/>
      <c r="M46" s="1311">
        <f t="shared" si="3"/>
        <v>0</v>
      </c>
      <c r="N46" s="529"/>
      <c r="O46" s="1312"/>
      <c r="P46" s="1313">
        <f t="shared" si="0"/>
        <v>0</v>
      </c>
      <c r="Q46" s="1314"/>
      <c r="R46" s="815"/>
      <c r="S46" s="816"/>
      <c r="T46" s="1315"/>
      <c r="U46" s="817" t="str">
        <f>IF(OR(A46&lt;&gt;"",B46&lt;&gt;"",C46&lt;&gt;"",D46&lt;&gt;"",E46&lt;&gt;"",F46&lt;&gt;"",G46&lt;&gt;"",I46&lt;&gt;"",L46&lt;&gt;""),'Admin Sheet'!$B$44,"")</f>
        <v/>
      </c>
      <c r="V46" s="806"/>
      <c r="W46" s="439"/>
    </row>
    <row r="47" spans="1:23" ht="26.25" customHeight="1" x14ac:dyDescent="0.2">
      <c r="A47" s="1306"/>
      <c r="B47" s="1307"/>
      <c r="C47" s="1307"/>
      <c r="D47" s="1307"/>
      <c r="E47" s="1307"/>
      <c r="F47" s="1307"/>
      <c r="G47" s="1307"/>
      <c r="H47" s="1308">
        <f t="shared" si="1"/>
        <v>0</v>
      </c>
      <c r="I47" s="1307"/>
      <c r="J47" s="1308">
        <f t="shared" si="2"/>
        <v>0</v>
      </c>
      <c r="K47" s="1309"/>
      <c r="L47" s="1310"/>
      <c r="M47" s="1311">
        <f t="shared" si="3"/>
        <v>0</v>
      </c>
      <c r="N47" s="529"/>
      <c r="O47" s="1312"/>
      <c r="P47" s="1313">
        <f t="shared" si="0"/>
        <v>0</v>
      </c>
      <c r="Q47" s="1314"/>
      <c r="R47" s="815"/>
      <c r="S47" s="816"/>
      <c r="T47" s="1315"/>
      <c r="U47" s="817" t="str">
        <f>IF(OR(A47&lt;&gt;"",B47&lt;&gt;"",C47&lt;&gt;"",D47&lt;&gt;"",E47&lt;&gt;"",F47&lt;&gt;"",G47&lt;&gt;"",I47&lt;&gt;"",L47&lt;&gt;""),'Admin Sheet'!$B$44,"")</f>
        <v/>
      </c>
      <c r="V47" s="806"/>
      <c r="W47" s="439"/>
    </row>
    <row r="48" spans="1:23" ht="26.25" customHeight="1" x14ac:dyDescent="0.2">
      <c r="A48" s="1306"/>
      <c r="B48" s="1307"/>
      <c r="C48" s="1307"/>
      <c r="D48" s="1307"/>
      <c r="E48" s="1307"/>
      <c r="F48" s="1307"/>
      <c r="G48" s="1307"/>
      <c r="H48" s="1308">
        <f t="shared" si="1"/>
        <v>0</v>
      </c>
      <c r="I48" s="1307"/>
      <c r="J48" s="1308">
        <f t="shared" si="2"/>
        <v>0</v>
      </c>
      <c r="K48" s="1309"/>
      <c r="L48" s="1310"/>
      <c r="M48" s="1311">
        <f t="shared" si="3"/>
        <v>0</v>
      </c>
      <c r="N48" s="529"/>
      <c r="O48" s="1312"/>
      <c r="P48" s="1313">
        <f t="shared" si="0"/>
        <v>0</v>
      </c>
      <c r="Q48" s="1314"/>
      <c r="R48" s="815"/>
      <c r="S48" s="816"/>
      <c r="T48" s="1315"/>
      <c r="U48" s="817" t="str">
        <f>IF(OR(A48&lt;&gt;"",B48&lt;&gt;"",C48&lt;&gt;"",D48&lt;&gt;"",E48&lt;&gt;"",F48&lt;&gt;"",G48&lt;&gt;"",I48&lt;&gt;"",L48&lt;&gt;""),'Admin Sheet'!$B$44,"")</f>
        <v/>
      </c>
      <c r="V48" s="806"/>
      <c r="W48" s="439"/>
    </row>
    <row r="49" spans="1:23" ht="26.25" customHeight="1" x14ac:dyDescent="0.2">
      <c r="A49" s="1306"/>
      <c r="B49" s="1307"/>
      <c r="C49" s="1307"/>
      <c r="D49" s="1307"/>
      <c r="E49" s="1307"/>
      <c r="F49" s="1307"/>
      <c r="G49" s="1307"/>
      <c r="H49" s="1308">
        <f t="shared" si="1"/>
        <v>0</v>
      </c>
      <c r="I49" s="1307"/>
      <c r="J49" s="1308">
        <f t="shared" si="2"/>
        <v>0</v>
      </c>
      <c r="K49" s="1309"/>
      <c r="L49" s="1310"/>
      <c r="M49" s="1311">
        <f t="shared" si="3"/>
        <v>0</v>
      </c>
      <c r="N49" s="529"/>
      <c r="O49" s="1312"/>
      <c r="P49" s="1313">
        <f t="shared" si="0"/>
        <v>0</v>
      </c>
      <c r="Q49" s="1314"/>
      <c r="R49" s="815"/>
      <c r="S49" s="816"/>
      <c r="T49" s="1315"/>
      <c r="U49" s="817" t="str">
        <f>IF(OR(A49&lt;&gt;"",B49&lt;&gt;"",C49&lt;&gt;"",D49&lt;&gt;"",E49&lt;&gt;"",F49&lt;&gt;"",G49&lt;&gt;"",I49&lt;&gt;"",L49&lt;&gt;""),'Admin Sheet'!$B$44,"")</f>
        <v/>
      </c>
      <c r="V49" s="806"/>
      <c r="W49" s="439"/>
    </row>
    <row r="50" spans="1:23" ht="26.25" customHeight="1" x14ac:dyDescent="0.2">
      <c r="A50" s="1306"/>
      <c r="B50" s="1307"/>
      <c r="C50" s="1307"/>
      <c r="D50" s="1307"/>
      <c r="E50" s="1307"/>
      <c r="F50" s="1307"/>
      <c r="G50" s="1307"/>
      <c r="H50" s="1308">
        <f t="shared" si="1"/>
        <v>0</v>
      </c>
      <c r="I50" s="1307"/>
      <c r="J50" s="1308">
        <f t="shared" si="2"/>
        <v>0</v>
      </c>
      <c r="K50" s="1309"/>
      <c r="L50" s="1310"/>
      <c r="M50" s="1311">
        <f t="shared" si="3"/>
        <v>0</v>
      </c>
      <c r="N50" s="529"/>
      <c r="O50" s="1312"/>
      <c r="P50" s="1313">
        <f t="shared" si="0"/>
        <v>0</v>
      </c>
      <c r="Q50" s="1314"/>
      <c r="R50" s="815"/>
      <c r="S50" s="816"/>
      <c r="T50" s="1315"/>
      <c r="U50" s="817" t="str">
        <f>IF(OR(A50&lt;&gt;"",B50&lt;&gt;"",C50&lt;&gt;"",D50&lt;&gt;"",E50&lt;&gt;"",F50&lt;&gt;"",G50&lt;&gt;"",I50&lt;&gt;"",L50&lt;&gt;""),'Admin Sheet'!$B$44,"")</f>
        <v/>
      </c>
      <c r="V50" s="806"/>
      <c r="W50" s="439"/>
    </row>
    <row r="51" spans="1:23" ht="26.25" customHeight="1" x14ac:dyDescent="0.2">
      <c r="A51" s="1306"/>
      <c r="B51" s="1307"/>
      <c r="C51" s="1307"/>
      <c r="D51" s="1307"/>
      <c r="E51" s="1307"/>
      <c r="F51" s="1307"/>
      <c r="G51" s="1307"/>
      <c r="H51" s="1308">
        <f t="shared" si="1"/>
        <v>0</v>
      </c>
      <c r="I51" s="1307"/>
      <c r="J51" s="1308">
        <f t="shared" si="2"/>
        <v>0</v>
      </c>
      <c r="K51" s="1309"/>
      <c r="L51" s="1310"/>
      <c r="M51" s="1311">
        <f t="shared" si="3"/>
        <v>0</v>
      </c>
      <c r="N51" s="529"/>
      <c r="O51" s="1312"/>
      <c r="P51" s="1313">
        <f t="shared" si="0"/>
        <v>0</v>
      </c>
      <c r="Q51" s="1314"/>
      <c r="R51" s="815"/>
      <c r="S51" s="816"/>
      <c r="T51" s="1315"/>
      <c r="U51" s="817" t="str">
        <f>IF(OR(A51&lt;&gt;"",B51&lt;&gt;"",C51&lt;&gt;"",D51&lt;&gt;"",E51&lt;&gt;"",F51&lt;&gt;"",G51&lt;&gt;"",I51&lt;&gt;"",L51&lt;&gt;""),'Admin Sheet'!$B$44,"")</f>
        <v/>
      </c>
      <c r="V51" s="806"/>
      <c r="W51" s="439"/>
    </row>
    <row r="52" spans="1:23" ht="26.25" customHeight="1" x14ac:dyDescent="0.2">
      <c r="A52" s="1306"/>
      <c r="B52" s="1307"/>
      <c r="C52" s="1307"/>
      <c r="D52" s="1307"/>
      <c r="E52" s="1307"/>
      <c r="F52" s="1307"/>
      <c r="G52" s="1307"/>
      <c r="H52" s="1308">
        <f t="shared" si="1"/>
        <v>0</v>
      </c>
      <c r="I52" s="1307"/>
      <c r="J52" s="1308">
        <f t="shared" si="2"/>
        <v>0</v>
      </c>
      <c r="K52" s="1309"/>
      <c r="L52" s="1310"/>
      <c r="M52" s="1311">
        <f t="shared" si="3"/>
        <v>0</v>
      </c>
      <c r="N52" s="529"/>
      <c r="O52" s="1312"/>
      <c r="P52" s="1313">
        <f t="shared" si="0"/>
        <v>0</v>
      </c>
      <c r="Q52" s="1314"/>
      <c r="R52" s="815"/>
      <c r="S52" s="816"/>
      <c r="T52" s="1315"/>
      <c r="U52" s="817" t="str">
        <f>IF(OR(A52&lt;&gt;"",B52&lt;&gt;"",C52&lt;&gt;"",D52&lt;&gt;"",E52&lt;&gt;"",F52&lt;&gt;"",G52&lt;&gt;"",I52&lt;&gt;"",L52&lt;&gt;""),'Admin Sheet'!$B$44,"")</f>
        <v/>
      </c>
      <c r="V52" s="806"/>
      <c r="W52" s="439"/>
    </row>
    <row r="53" spans="1:23" ht="26.25" customHeight="1" x14ac:dyDescent="0.2">
      <c r="A53" s="1306"/>
      <c r="B53" s="1307"/>
      <c r="C53" s="1307"/>
      <c r="D53" s="1307"/>
      <c r="E53" s="1307"/>
      <c r="F53" s="1307"/>
      <c r="G53" s="1307"/>
      <c r="H53" s="1308">
        <f t="shared" si="1"/>
        <v>0</v>
      </c>
      <c r="I53" s="1307"/>
      <c r="J53" s="1308">
        <f t="shared" si="2"/>
        <v>0</v>
      </c>
      <c r="K53" s="1309"/>
      <c r="L53" s="1310"/>
      <c r="M53" s="1311">
        <f t="shared" si="3"/>
        <v>0</v>
      </c>
      <c r="N53" s="529"/>
      <c r="O53" s="1312"/>
      <c r="P53" s="1313">
        <f t="shared" si="0"/>
        <v>0</v>
      </c>
      <c r="Q53" s="1314"/>
      <c r="R53" s="815"/>
      <c r="S53" s="816"/>
      <c r="T53" s="1315"/>
      <c r="U53" s="817" t="str">
        <f>IF(OR(A53&lt;&gt;"",B53&lt;&gt;"",C53&lt;&gt;"",D53&lt;&gt;"",E53&lt;&gt;"",F53&lt;&gt;"",G53&lt;&gt;"",I53&lt;&gt;"",L53&lt;&gt;""),'Admin Sheet'!$B$44,"")</f>
        <v/>
      </c>
      <c r="V53" s="806"/>
      <c r="W53" s="439"/>
    </row>
    <row r="54" spans="1:23" ht="26.25" customHeight="1" x14ac:dyDescent="0.2">
      <c r="A54" s="1306"/>
      <c r="B54" s="1307"/>
      <c r="C54" s="1307"/>
      <c r="D54" s="1307"/>
      <c r="E54" s="1307"/>
      <c r="F54" s="1307"/>
      <c r="G54" s="1307"/>
      <c r="H54" s="1308">
        <f t="shared" si="1"/>
        <v>0</v>
      </c>
      <c r="I54" s="1307"/>
      <c r="J54" s="1308">
        <f t="shared" si="2"/>
        <v>0</v>
      </c>
      <c r="K54" s="1309"/>
      <c r="L54" s="1310"/>
      <c r="M54" s="1311">
        <f t="shared" si="3"/>
        <v>0</v>
      </c>
      <c r="N54" s="529"/>
      <c r="O54" s="1312"/>
      <c r="P54" s="1313">
        <f t="shared" si="0"/>
        <v>0</v>
      </c>
      <c r="Q54" s="1314"/>
      <c r="R54" s="815"/>
      <c r="S54" s="816"/>
      <c r="T54" s="1315"/>
      <c r="U54" s="817" t="str">
        <f>IF(OR(A54&lt;&gt;"",B54&lt;&gt;"",C54&lt;&gt;"",D54&lt;&gt;"",E54&lt;&gt;"",F54&lt;&gt;"",G54&lt;&gt;"",I54&lt;&gt;"",L54&lt;&gt;""),'Admin Sheet'!$B$44,"")</f>
        <v/>
      </c>
      <c r="V54" s="806"/>
      <c r="W54" s="439"/>
    </row>
    <row r="55" spans="1:23" ht="26.25" customHeight="1" x14ac:dyDescent="0.2">
      <c r="A55" s="1306"/>
      <c r="B55" s="1307"/>
      <c r="C55" s="1307"/>
      <c r="D55" s="1307"/>
      <c r="E55" s="1307"/>
      <c r="F55" s="1307"/>
      <c r="G55" s="1307"/>
      <c r="H55" s="1308">
        <f t="shared" si="1"/>
        <v>0</v>
      </c>
      <c r="I55" s="1307"/>
      <c r="J55" s="1308">
        <f t="shared" si="2"/>
        <v>0</v>
      </c>
      <c r="K55" s="1309"/>
      <c r="L55" s="1310"/>
      <c r="M55" s="1311">
        <f t="shared" si="3"/>
        <v>0</v>
      </c>
      <c r="N55" s="529"/>
      <c r="O55" s="1312"/>
      <c r="P55" s="1313">
        <f t="shared" si="0"/>
        <v>0</v>
      </c>
      <c r="Q55" s="1314"/>
      <c r="R55" s="815"/>
      <c r="S55" s="816"/>
      <c r="T55" s="1315"/>
      <c r="U55" s="817" t="str">
        <f>IF(OR(A55&lt;&gt;"",B55&lt;&gt;"",C55&lt;&gt;"",D55&lt;&gt;"",E55&lt;&gt;"",F55&lt;&gt;"",G55&lt;&gt;"",I55&lt;&gt;"",L55&lt;&gt;""),'Admin Sheet'!$B$44,"")</f>
        <v/>
      </c>
      <c r="V55" s="806"/>
      <c r="W55" s="439"/>
    </row>
    <row r="56" spans="1:23" ht="26.25" customHeight="1" x14ac:dyDescent="0.2">
      <c r="A56" s="1306"/>
      <c r="B56" s="1307"/>
      <c r="C56" s="1307"/>
      <c r="D56" s="1307"/>
      <c r="E56" s="1307"/>
      <c r="F56" s="1307"/>
      <c r="G56" s="1307"/>
      <c r="H56" s="1308">
        <f t="shared" si="1"/>
        <v>0</v>
      </c>
      <c r="I56" s="1307"/>
      <c r="J56" s="1308">
        <f t="shared" si="2"/>
        <v>0</v>
      </c>
      <c r="K56" s="1309"/>
      <c r="L56" s="1310"/>
      <c r="M56" s="1311">
        <f t="shared" si="3"/>
        <v>0</v>
      </c>
      <c r="N56" s="529"/>
      <c r="O56" s="1312"/>
      <c r="P56" s="1313">
        <f t="shared" si="0"/>
        <v>0</v>
      </c>
      <c r="Q56" s="1314"/>
      <c r="R56" s="815"/>
      <c r="S56" s="816"/>
      <c r="T56" s="1315"/>
      <c r="U56" s="817" t="str">
        <f>IF(OR(A56&lt;&gt;"",B56&lt;&gt;"",C56&lt;&gt;"",D56&lt;&gt;"",E56&lt;&gt;"",F56&lt;&gt;"",G56&lt;&gt;"",I56&lt;&gt;"",L56&lt;&gt;""),'Admin Sheet'!$B$44,"")</f>
        <v/>
      </c>
      <c r="V56" s="806"/>
      <c r="W56" s="439"/>
    </row>
    <row r="57" spans="1:23" ht="26.25" customHeight="1" x14ac:dyDescent="0.2">
      <c r="A57" s="1306"/>
      <c r="B57" s="1307"/>
      <c r="C57" s="1307"/>
      <c r="D57" s="1307"/>
      <c r="E57" s="1307"/>
      <c r="F57" s="1307"/>
      <c r="G57" s="1307"/>
      <c r="H57" s="1308">
        <f t="shared" si="1"/>
        <v>0</v>
      </c>
      <c r="I57" s="1307"/>
      <c r="J57" s="1308">
        <f t="shared" si="2"/>
        <v>0</v>
      </c>
      <c r="K57" s="1309"/>
      <c r="L57" s="1310"/>
      <c r="M57" s="1311">
        <f t="shared" si="3"/>
        <v>0</v>
      </c>
      <c r="N57" s="529"/>
      <c r="O57" s="1312"/>
      <c r="P57" s="1313">
        <f t="shared" si="0"/>
        <v>0</v>
      </c>
      <c r="Q57" s="1314"/>
      <c r="R57" s="815"/>
      <c r="S57" s="816"/>
      <c r="T57" s="1315"/>
      <c r="U57" s="817" t="str">
        <f>IF(OR(A57&lt;&gt;"",B57&lt;&gt;"",C57&lt;&gt;"",D57&lt;&gt;"",E57&lt;&gt;"",F57&lt;&gt;"",G57&lt;&gt;"",I57&lt;&gt;"",L57&lt;&gt;""),'Admin Sheet'!$B$44,"")</f>
        <v/>
      </c>
      <c r="V57" s="806"/>
      <c r="W57" s="439"/>
    </row>
    <row r="58" spans="1:23" ht="26.25" customHeight="1" x14ac:dyDescent="0.2">
      <c r="A58" s="1306"/>
      <c r="B58" s="1307"/>
      <c r="C58" s="1307"/>
      <c r="D58" s="1307"/>
      <c r="E58" s="1307"/>
      <c r="F58" s="1307"/>
      <c r="G58" s="1307"/>
      <c r="H58" s="1308">
        <f t="shared" si="1"/>
        <v>0</v>
      </c>
      <c r="I58" s="1307"/>
      <c r="J58" s="1308">
        <f t="shared" si="2"/>
        <v>0</v>
      </c>
      <c r="K58" s="1309"/>
      <c r="L58" s="1310"/>
      <c r="M58" s="1311">
        <f t="shared" si="3"/>
        <v>0</v>
      </c>
      <c r="N58" s="529"/>
      <c r="O58" s="1312"/>
      <c r="P58" s="1313">
        <f t="shared" si="0"/>
        <v>0</v>
      </c>
      <c r="Q58" s="1314"/>
      <c r="R58" s="815"/>
      <c r="S58" s="816"/>
      <c r="T58" s="1315"/>
      <c r="U58" s="817" t="str">
        <f>IF(OR(A58&lt;&gt;"",B58&lt;&gt;"",C58&lt;&gt;"",D58&lt;&gt;"",E58&lt;&gt;"",F58&lt;&gt;"",G58&lt;&gt;"",I58&lt;&gt;"",L58&lt;&gt;""),'Admin Sheet'!$B$44,"")</f>
        <v/>
      </c>
      <c r="V58" s="806"/>
      <c r="W58" s="439"/>
    </row>
    <row r="59" spans="1:23" ht="26.25" customHeight="1" x14ac:dyDescent="0.2">
      <c r="A59" s="1306"/>
      <c r="B59" s="1307"/>
      <c r="C59" s="1307"/>
      <c r="D59" s="1307"/>
      <c r="E59" s="1307"/>
      <c r="F59" s="1307"/>
      <c r="G59" s="1307"/>
      <c r="H59" s="1308">
        <f t="shared" si="1"/>
        <v>0</v>
      </c>
      <c r="I59" s="1307"/>
      <c r="J59" s="1308">
        <f t="shared" si="2"/>
        <v>0</v>
      </c>
      <c r="K59" s="1309"/>
      <c r="L59" s="1310"/>
      <c r="M59" s="1311">
        <f t="shared" si="3"/>
        <v>0</v>
      </c>
      <c r="N59" s="529"/>
      <c r="O59" s="1312"/>
      <c r="P59" s="1313">
        <f t="shared" si="0"/>
        <v>0</v>
      </c>
      <c r="Q59" s="1314"/>
      <c r="R59" s="815"/>
      <c r="S59" s="816"/>
      <c r="T59" s="1315"/>
      <c r="U59" s="817" t="str">
        <f>IF(OR(A59&lt;&gt;"",B59&lt;&gt;"",C59&lt;&gt;"",D59&lt;&gt;"",E59&lt;&gt;"",F59&lt;&gt;"",G59&lt;&gt;"",I59&lt;&gt;"",L59&lt;&gt;""),'Admin Sheet'!$B$44,"")</f>
        <v/>
      </c>
      <c r="V59" s="806"/>
      <c r="W59" s="439"/>
    </row>
    <row r="60" spans="1:23" ht="26.25" customHeight="1" x14ac:dyDescent="0.2">
      <c r="A60" s="1306"/>
      <c r="B60" s="1307"/>
      <c r="C60" s="1307"/>
      <c r="D60" s="1307"/>
      <c r="E60" s="1307"/>
      <c r="F60" s="1307"/>
      <c r="G60" s="1307"/>
      <c r="H60" s="1308">
        <f t="shared" si="1"/>
        <v>0</v>
      </c>
      <c r="I60" s="1307"/>
      <c r="J60" s="1308">
        <f t="shared" si="2"/>
        <v>0</v>
      </c>
      <c r="K60" s="1309"/>
      <c r="L60" s="1310"/>
      <c r="M60" s="1311">
        <f t="shared" si="3"/>
        <v>0</v>
      </c>
      <c r="N60" s="529"/>
      <c r="O60" s="1312"/>
      <c r="P60" s="1313">
        <f t="shared" si="0"/>
        <v>0</v>
      </c>
      <c r="Q60" s="1314"/>
      <c r="R60" s="815"/>
      <c r="S60" s="816"/>
      <c r="T60" s="1315"/>
      <c r="U60" s="817" t="str">
        <f>IF(OR(A60&lt;&gt;"",B60&lt;&gt;"",C60&lt;&gt;"",D60&lt;&gt;"",E60&lt;&gt;"",F60&lt;&gt;"",G60&lt;&gt;"",I60&lt;&gt;"",L60&lt;&gt;""),'Admin Sheet'!$B$44,"")</f>
        <v/>
      </c>
      <c r="V60" s="806"/>
      <c r="W60" s="439"/>
    </row>
    <row r="61" spans="1:23" ht="26.25" customHeight="1" x14ac:dyDescent="0.2">
      <c r="A61" s="1306"/>
      <c r="B61" s="1307"/>
      <c r="C61" s="1307"/>
      <c r="D61" s="1307"/>
      <c r="E61" s="1307"/>
      <c r="F61" s="1307"/>
      <c r="G61" s="1307"/>
      <c r="H61" s="1308">
        <f t="shared" si="1"/>
        <v>0</v>
      </c>
      <c r="I61" s="1307"/>
      <c r="J61" s="1308">
        <f t="shared" si="2"/>
        <v>0</v>
      </c>
      <c r="K61" s="1309"/>
      <c r="L61" s="1310"/>
      <c r="M61" s="1311">
        <f t="shared" si="3"/>
        <v>0</v>
      </c>
      <c r="N61" s="529"/>
      <c r="O61" s="1312"/>
      <c r="P61" s="1313">
        <f t="shared" si="0"/>
        <v>0</v>
      </c>
      <c r="Q61" s="1314"/>
      <c r="R61" s="815"/>
      <c r="S61" s="816"/>
      <c r="T61" s="1315"/>
      <c r="U61" s="817" t="str">
        <f>IF(OR(A61&lt;&gt;"",B61&lt;&gt;"",C61&lt;&gt;"",D61&lt;&gt;"",E61&lt;&gt;"",F61&lt;&gt;"",G61&lt;&gt;"",I61&lt;&gt;"",L61&lt;&gt;""),'Admin Sheet'!$B$44,"")</f>
        <v/>
      </c>
      <c r="V61" s="806"/>
      <c r="W61" s="439"/>
    </row>
    <row r="62" spans="1:23" ht="26.25" customHeight="1" x14ac:dyDescent="0.2">
      <c r="A62" s="1306"/>
      <c r="B62" s="1307"/>
      <c r="C62" s="1307"/>
      <c r="D62" s="1307"/>
      <c r="E62" s="1307"/>
      <c r="F62" s="1307"/>
      <c r="G62" s="1307"/>
      <c r="H62" s="1308">
        <f t="shared" si="1"/>
        <v>0</v>
      </c>
      <c r="I62" s="1307"/>
      <c r="J62" s="1308">
        <f t="shared" si="2"/>
        <v>0</v>
      </c>
      <c r="K62" s="1309"/>
      <c r="L62" s="1310"/>
      <c r="M62" s="1311">
        <f t="shared" si="3"/>
        <v>0</v>
      </c>
      <c r="N62" s="529"/>
      <c r="O62" s="1312"/>
      <c r="P62" s="1313">
        <f t="shared" si="0"/>
        <v>0</v>
      </c>
      <c r="Q62" s="1314"/>
      <c r="R62" s="815"/>
      <c r="S62" s="816"/>
      <c r="T62" s="1315"/>
      <c r="U62" s="817" t="str">
        <f>IF(OR(A62&lt;&gt;"",B62&lt;&gt;"",C62&lt;&gt;"",D62&lt;&gt;"",E62&lt;&gt;"",F62&lt;&gt;"",G62&lt;&gt;"",I62&lt;&gt;"",L62&lt;&gt;""),'Admin Sheet'!$B$44,"")</f>
        <v/>
      </c>
      <c r="V62" s="806"/>
      <c r="W62" s="439"/>
    </row>
    <row r="63" spans="1:23" ht="26.25" customHeight="1" x14ac:dyDescent="0.2">
      <c r="A63" s="1306"/>
      <c r="B63" s="1307"/>
      <c r="C63" s="1307"/>
      <c r="D63" s="1307"/>
      <c r="E63" s="1307"/>
      <c r="F63" s="1307"/>
      <c r="G63" s="1307"/>
      <c r="H63" s="1308">
        <f t="shared" si="1"/>
        <v>0</v>
      </c>
      <c r="I63" s="1307"/>
      <c r="J63" s="1308">
        <f t="shared" si="2"/>
        <v>0</v>
      </c>
      <c r="K63" s="1309"/>
      <c r="L63" s="1310"/>
      <c r="M63" s="1311">
        <f t="shared" si="3"/>
        <v>0</v>
      </c>
      <c r="N63" s="529"/>
      <c r="O63" s="1312"/>
      <c r="P63" s="1313">
        <f t="shared" si="0"/>
        <v>0</v>
      </c>
      <c r="Q63" s="1314"/>
      <c r="R63" s="815"/>
      <c r="S63" s="816"/>
      <c r="T63" s="1315"/>
      <c r="U63" s="817" t="str">
        <f>IF(OR(A63&lt;&gt;"",B63&lt;&gt;"",C63&lt;&gt;"",D63&lt;&gt;"",E63&lt;&gt;"",F63&lt;&gt;"",G63&lt;&gt;"",I63&lt;&gt;"",L63&lt;&gt;""),'Admin Sheet'!$B$44,"")</f>
        <v/>
      </c>
      <c r="V63" s="806"/>
      <c r="W63" s="439"/>
    </row>
    <row r="64" spans="1:23" ht="26.25" customHeight="1" x14ac:dyDescent="0.2">
      <c r="A64" s="1306"/>
      <c r="B64" s="1307"/>
      <c r="C64" s="1307"/>
      <c r="D64" s="1307"/>
      <c r="E64" s="1307"/>
      <c r="F64" s="1307"/>
      <c r="G64" s="1307"/>
      <c r="H64" s="1308">
        <f t="shared" si="1"/>
        <v>0</v>
      </c>
      <c r="I64" s="1307"/>
      <c r="J64" s="1308">
        <f t="shared" si="2"/>
        <v>0</v>
      </c>
      <c r="K64" s="1309"/>
      <c r="L64" s="1310"/>
      <c r="M64" s="1311">
        <f t="shared" si="3"/>
        <v>0</v>
      </c>
      <c r="N64" s="529"/>
      <c r="O64" s="1312"/>
      <c r="P64" s="1313">
        <f t="shared" si="0"/>
        <v>0</v>
      </c>
      <c r="Q64" s="1314"/>
      <c r="R64" s="815"/>
      <c r="S64" s="816"/>
      <c r="T64" s="1315"/>
      <c r="U64" s="817" t="str">
        <f>IF(OR(A64&lt;&gt;"",B64&lt;&gt;"",C64&lt;&gt;"",D64&lt;&gt;"",E64&lt;&gt;"",F64&lt;&gt;"",G64&lt;&gt;"",I64&lt;&gt;"",L64&lt;&gt;""),'Admin Sheet'!$B$44,"")</f>
        <v/>
      </c>
      <c r="V64" s="806"/>
      <c r="W64" s="439"/>
    </row>
    <row r="65" spans="1:23" ht="26.25" customHeight="1" x14ac:dyDescent="0.2">
      <c r="A65" s="1306"/>
      <c r="B65" s="1307"/>
      <c r="C65" s="1307"/>
      <c r="D65" s="1307"/>
      <c r="E65" s="1307"/>
      <c r="F65" s="1307"/>
      <c r="G65" s="1307"/>
      <c r="H65" s="1308">
        <f t="shared" si="1"/>
        <v>0</v>
      </c>
      <c r="I65" s="1307"/>
      <c r="J65" s="1308">
        <f t="shared" si="2"/>
        <v>0</v>
      </c>
      <c r="K65" s="1309"/>
      <c r="L65" s="1310"/>
      <c r="M65" s="1311">
        <f t="shared" si="3"/>
        <v>0</v>
      </c>
      <c r="N65" s="529"/>
      <c r="O65" s="1312"/>
      <c r="P65" s="1313">
        <f t="shared" si="0"/>
        <v>0</v>
      </c>
      <c r="Q65" s="1314"/>
      <c r="R65" s="815"/>
      <c r="S65" s="816"/>
      <c r="T65" s="1315"/>
      <c r="U65" s="817" t="str">
        <f>IF(OR(A65&lt;&gt;"",B65&lt;&gt;"",C65&lt;&gt;"",D65&lt;&gt;"",E65&lt;&gt;"",F65&lt;&gt;"",G65&lt;&gt;"",I65&lt;&gt;"",L65&lt;&gt;""),'Admin Sheet'!$B$44,"")</f>
        <v/>
      </c>
      <c r="V65" s="806"/>
      <c r="W65" s="439"/>
    </row>
    <row r="66" spans="1:23" ht="26.25" customHeight="1" x14ac:dyDescent="0.2">
      <c r="A66" s="1306"/>
      <c r="B66" s="1307"/>
      <c r="C66" s="1307"/>
      <c r="D66" s="1307"/>
      <c r="E66" s="1307"/>
      <c r="F66" s="1307"/>
      <c r="G66" s="1307"/>
      <c r="H66" s="1308">
        <f t="shared" si="1"/>
        <v>0</v>
      </c>
      <c r="I66" s="1307"/>
      <c r="J66" s="1308">
        <f t="shared" si="2"/>
        <v>0</v>
      </c>
      <c r="K66" s="1309"/>
      <c r="L66" s="1310"/>
      <c r="M66" s="1311">
        <f t="shared" si="3"/>
        <v>0</v>
      </c>
      <c r="N66" s="529"/>
      <c r="O66" s="1312"/>
      <c r="P66" s="1313">
        <f t="shared" si="0"/>
        <v>0</v>
      </c>
      <c r="Q66" s="1314"/>
      <c r="R66" s="815"/>
      <c r="S66" s="816"/>
      <c r="T66" s="1315"/>
      <c r="U66" s="817" t="str">
        <f>IF(OR(A66&lt;&gt;"",B66&lt;&gt;"",C66&lt;&gt;"",D66&lt;&gt;"",E66&lt;&gt;"",F66&lt;&gt;"",G66&lt;&gt;"",I66&lt;&gt;"",L66&lt;&gt;""),'Admin Sheet'!$B$44,"")</f>
        <v/>
      </c>
      <c r="V66" s="806"/>
      <c r="W66" s="439"/>
    </row>
    <row r="67" spans="1:23" ht="26.25" customHeight="1" x14ac:dyDescent="0.2">
      <c r="A67" s="1306"/>
      <c r="B67" s="1307"/>
      <c r="C67" s="1307"/>
      <c r="D67" s="1307"/>
      <c r="E67" s="1307"/>
      <c r="F67" s="1307"/>
      <c r="G67" s="1307"/>
      <c r="H67" s="1308">
        <f t="shared" si="1"/>
        <v>0</v>
      </c>
      <c r="I67" s="1307"/>
      <c r="J67" s="1308">
        <f t="shared" si="2"/>
        <v>0</v>
      </c>
      <c r="K67" s="1309"/>
      <c r="L67" s="1310"/>
      <c r="M67" s="1311">
        <f t="shared" si="3"/>
        <v>0</v>
      </c>
      <c r="N67" s="529"/>
      <c r="O67" s="1312"/>
      <c r="P67" s="1313">
        <f t="shared" si="0"/>
        <v>0</v>
      </c>
      <c r="Q67" s="1314"/>
      <c r="R67" s="815"/>
      <c r="S67" s="816"/>
      <c r="T67" s="1315"/>
      <c r="U67" s="817" t="str">
        <f>IF(OR(A67&lt;&gt;"",B67&lt;&gt;"",C67&lt;&gt;"",D67&lt;&gt;"",E67&lt;&gt;"",F67&lt;&gt;"",G67&lt;&gt;"",I67&lt;&gt;"",L67&lt;&gt;""),'Admin Sheet'!$B$44,"")</f>
        <v/>
      </c>
      <c r="V67" s="806"/>
      <c r="W67" s="439"/>
    </row>
    <row r="68" spans="1:23" ht="26.25" customHeight="1" x14ac:dyDescent="0.2">
      <c r="A68" s="1306"/>
      <c r="B68" s="1307"/>
      <c r="C68" s="1307"/>
      <c r="D68" s="1307"/>
      <c r="E68" s="1307"/>
      <c r="F68" s="1307"/>
      <c r="G68" s="1307"/>
      <c r="H68" s="1308">
        <f t="shared" si="1"/>
        <v>0</v>
      </c>
      <c r="I68" s="1307"/>
      <c r="J68" s="1308">
        <f t="shared" si="2"/>
        <v>0</v>
      </c>
      <c r="K68" s="1309"/>
      <c r="L68" s="1310"/>
      <c r="M68" s="1311">
        <f t="shared" si="3"/>
        <v>0</v>
      </c>
      <c r="N68" s="529"/>
      <c r="O68" s="1312"/>
      <c r="P68" s="1313">
        <f t="shared" si="0"/>
        <v>0</v>
      </c>
      <c r="Q68" s="1314"/>
      <c r="R68" s="815"/>
      <c r="S68" s="816"/>
      <c r="T68" s="1315"/>
      <c r="U68" s="817" t="str">
        <f>IF(OR(A68&lt;&gt;"",B68&lt;&gt;"",C68&lt;&gt;"",D68&lt;&gt;"",E68&lt;&gt;"",F68&lt;&gt;"",G68&lt;&gt;"",I68&lt;&gt;"",L68&lt;&gt;""),'Admin Sheet'!$B$44,"")</f>
        <v/>
      </c>
      <c r="V68" s="806"/>
      <c r="W68" s="439"/>
    </row>
    <row r="69" spans="1:23" ht="26.25" customHeight="1" x14ac:dyDescent="0.2">
      <c r="A69" s="1306"/>
      <c r="B69" s="1307"/>
      <c r="C69" s="1307"/>
      <c r="D69" s="1307"/>
      <c r="E69" s="1307"/>
      <c r="F69" s="1307"/>
      <c r="G69" s="1307"/>
      <c r="H69" s="1308">
        <f t="shared" si="1"/>
        <v>0</v>
      </c>
      <c r="I69" s="1307"/>
      <c r="J69" s="1308">
        <f t="shared" si="2"/>
        <v>0</v>
      </c>
      <c r="K69" s="1309"/>
      <c r="L69" s="1310"/>
      <c r="M69" s="1311">
        <f t="shared" si="3"/>
        <v>0</v>
      </c>
      <c r="N69" s="529"/>
      <c r="O69" s="1312"/>
      <c r="P69" s="1313">
        <f t="shared" si="0"/>
        <v>0</v>
      </c>
      <c r="Q69" s="1314"/>
      <c r="R69" s="815"/>
      <c r="S69" s="816"/>
      <c r="T69" s="1315"/>
      <c r="U69" s="817" t="str">
        <f>IF(OR(A69&lt;&gt;"",B69&lt;&gt;"",C69&lt;&gt;"",D69&lt;&gt;"",E69&lt;&gt;"",F69&lt;&gt;"",G69&lt;&gt;"",I69&lt;&gt;"",L69&lt;&gt;""),'Admin Sheet'!$B$44,"")</f>
        <v/>
      </c>
      <c r="V69" s="806"/>
      <c r="W69" s="439"/>
    </row>
    <row r="70" spans="1:23" ht="26.25" customHeight="1" x14ac:dyDescent="0.2">
      <c r="A70" s="1306"/>
      <c r="B70" s="1307"/>
      <c r="C70" s="1307"/>
      <c r="D70" s="1307"/>
      <c r="E70" s="1307"/>
      <c r="F70" s="1307"/>
      <c r="G70" s="1307"/>
      <c r="H70" s="1308">
        <f t="shared" si="1"/>
        <v>0</v>
      </c>
      <c r="I70" s="1307"/>
      <c r="J70" s="1308">
        <f t="shared" si="2"/>
        <v>0</v>
      </c>
      <c r="K70" s="1309"/>
      <c r="L70" s="1310"/>
      <c r="M70" s="1311">
        <f t="shared" si="3"/>
        <v>0</v>
      </c>
      <c r="N70" s="529"/>
      <c r="O70" s="1312"/>
      <c r="P70" s="1313">
        <f t="shared" si="0"/>
        <v>0</v>
      </c>
      <c r="Q70" s="1314"/>
      <c r="R70" s="815"/>
      <c r="S70" s="816"/>
      <c r="T70" s="1315"/>
      <c r="U70" s="817" t="str">
        <f>IF(OR(A70&lt;&gt;"",B70&lt;&gt;"",C70&lt;&gt;"",D70&lt;&gt;"",E70&lt;&gt;"",F70&lt;&gt;"",G70&lt;&gt;"",I70&lt;&gt;"",L70&lt;&gt;""),'Admin Sheet'!$B$44,"")</f>
        <v/>
      </c>
      <c r="V70" s="806"/>
      <c r="W70" s="439"/>
    </row>
    <row r="71" spans="1:23" ht="26.25" customHeight="1" x14ac:dyDescent="0.2">
      <c r="A71" s="1306"/>
      <c r="B71" s="1307"/>
      <c r="C71" s="1307"/>
      <c r="D71" s="1307"/>
      <c r="E71" s="1307"/>
      <c r="F71" s="1307"/>
      <c r="G71" s="1307"/>
      <c r="H71" s="1308">
        <f t="shared" si="1"/>
        <v>0</v>
      </c>
      <c r="I71" s="1307"/>
      <c r="J71" s="1308">
        <f t="shared" si="2"/>
        <v>0</v>
      </c>
      <c r="K71" s="1309"/>
      <c r="L71" s="1310"/>
      <c r="M71" s="1311">
        <f t="shared" si="3"/>
        <v>0</v>
      </c>
      <c r="N71" s="529"/>
      <c r="O71" s="1312"/>
      <c r="P71" s="1313">
        <f t="shared" si="0"/>
        <v>0</v>
      </c>
      <c r="Q71" s="1314"/>
      <c r="R71" s="815"/>
      <c r="S71" s="816"/>
      <c r="T71" s="1315"/>
      <c r="U71" s="817" t="str">
        <f>IF(OR(A71&lt;&gt;"",B71&lt;&gt;"",C71&lt;&gt;"",D71&lt;&gt;"",E71&lt;&gt;"",F71&lt;&gt;"",G71&lt;&gt;"",I71&lt;&gt;"",L71&lt;&gt;""),'Admin Sheet'!$B$44,"")</f>
        <v/>
      </c>
      <c r="V71" s="806"/>
      <c r="W71" s="439"/>
    </row>
    <row r="72" spans="1:23" ht="26.25" customHeight="1" x14ac:dyDescent="0.2">
      <c r="A72" s="1306"/>
      <c r="B72" s="1307"/>
      <c r="C72" s="1307"/>
      <c r="D72" s="1307"/>
      <c r="E72" s="1307"/>
      <c r="F72" s="1307"/>
      <c r="G72" s="1307"/>
      <c r="H72" s="1308">
        <f t="shared" si="1"/>
        <v>0</v>
      </c>
      <c r="I72" s="1307"/>
      <c r="J72" s="1308">
        <f t="shared" si="2"/>
        <v>0</v>
      </c>
      <c r="K72" s="1309"/>
      <c r="L72" s="1310"/>
      <c r="M72" s="1311">
        <f t="shared" si="3"/>
        <v>0</v>
      </c>
      <c r="N72" s="529"/>
      <c r="O72" s="1312"/>
      <c r="P72" s="1313">
        <f t="shared" si="0"/>
        <v>0</v>
      </c>
      <c r="Q72" s="1314"/>
      <c r="R72" s="815"/>
      <c r="S72" s="816"/>
      <c r="T72" s="1315"/>
      <c r="U72" s="817" t="str">
        <f>IF(OR(A72&lt;&gt;"",B72&lt;&gt;"",C72&lt;&gt;"",D72&lt;&gt;"",E72&lt;&gt;"",F72&lt;&gt;"",G72&lt;&gt;"",I72&lt;&gt;"",L72&lt;&gt;""),'Admin Sheet'!$B$44,"")</f>
        <v/>
      </c>
      <c r="V72" s="806"/>
      <c r="W72" s="439"/>
    </row>
    <row r="73" spans="1:23" ht="26.25" customHeight="1" x14ac:dyDescent="0.2">
      <c r="A73" s="1306"/>
      <c r="B73" s="1307"/>
      <c r="C73" s="1307"/>
      <c r="D73" s="1307"/>
      <c r="E73" s="1307"/>
      <c r="F73" s="1307"/>
      <c r="G73" s="1307"/>
      <c r="H73" s="1308">
        <f t="shared" si="1"/>
        <v>0</v>
      </c>
      <c r="I73" s="1307"/>
      <c r="J73" s="1308">
        <f t="shared" si="2"/>
        <v>0</v>
      </c>
      <c r="K73" s="1309"/>
      <c r="L73" s="1310"/>
      <c r="M73" s="1311">
        <f t="shared" si="3"/>
        <v>0</v>
      </c>
      <c r="N73" s="529"/>
      <c r="O73" s="1312"/>
      <c r="P73" s="1313">
        <f t="shared" si="0"/>
        <v>0</v>
      </c>
      <c r="Q73" s="1314"/>
      <c r="R73" s="815"/>
      <c r="S73" s="816"/>
      <c r="T73" s="1315"/>
      <c r="U73" s="817" t="str">
        <f>IF(OR(A73&lt;&gt;"",B73&lt;&gt;"",C73&lt;&gt;"",D73&lt;&gt;"",E73&lt;&gt;"",F73&lt;&gt;"",G73&lt;&gt;"",I73&lt;&gt;"",L73&lt;&gt;""),'Admin Sheet'!$B$44,"")</f>
        <v/>
      </c>
      <c r="V73" s="806"/>
      <c r="W73" s="439"/>
    </row>
    <row r="74" spans="1:23" ht="26.25" customHeight="1" x14ac:dyDescent="0.2">
      <c r="A74" s="1306"/>
      <c r="B74" s="1307"/>
      <c r="C74" s="1307"/>
      <c r="D74" s="1307"/>
      <c r="E74" s="1307"/>
      <c r="F74" s="1307"/>
      <c r="G74" s="1307"/>
      <c r="H74" s="1308">
        <f t="shared" ref="H74:H109" si="4">IFERROR(+C74+D74+E74-F74-G74,"")</f>
        <v>0</v>
      </c>
      <c r="I74" s="1307"/>
      <c r="J74" s="1308">
        <f t="shared" ref="J74:J109" si="5">IFERROR(+I74-H74,"")</f>
        <v>0</v>
      </c>
      <c r="K74" s="1309"/>
      <c r="L74" s="1310"/>
      <c r="M74" s="1311">
        <f t="shared" ref="M74:M109" si="6">IFERROR(H74+L74,"")</f>
        <v>0</v>
      </c>
      <c r="N74" s="529"/>
      <c r="O74" s="1312"/>
      <c r="P74" s="1313">
        <f t="shared" si="0"/>
        <v>0</v>
      </c>
      <c r="Q74" s="1314"/>
      <c r="R74" s="815"/>
      <c r="S74" s="816"/>
      <c r="T74" s="1315"/>
      <c r="U74" s="817" t="str">
        <f>IF(OR(A74&lt;&gt;"",B74&lt;&gt;"",C74&lt;&gt;"",D74&lt;&gt;"",E74&lt;&gt;"",F74&lt;&gt;"",G74&lt;&gt;"",I74&lt;&gt;"",L74&lt;&gt;""),'Admin Sheet'!$B$44,"")</f>
        <v/>
      </c>
      <c r="V74" s="806"/>
      <c r="W74" s="439"/>
    </row>
    <row r="75" spans="1:23" ht="26.25" customHeight="1" x14ac:dyDescent="0.2">
      <c r="A75" s="1306"/>
      <c r="B75" s="1307"/>
      <c r="C75" s="1307"/>
      <c r="D75" s="1307"/>
      <c r="E75" s="1307"/>
      <c r="F75" s="1307"/>
      <c r="G75" s="1307"/>
      <c r="H75" s="1308">
        <f t="shared" si="4"/>
        <v>0</v>
      </c>
      <c r="I75" s="1307"/>
      <c r="J75" s="1308">
        <f t="shared" si="5"/>
        <v>0</v>
      </c>
      <c r="K75" s="1309"/>
      <c r="L75" s="1310"/>
      <c r="M75" s="1311">
        <f t="shared" si="6"/>
        <v>0</v>
      </c>
      <c r="N75" s="529"/>
      <c r="O75" s="1312"/>
      <c r="P75" s="1313">
        <f t="shared" si="0"/>
        <v>0</v>
      </c>
      <c r="Q75" s="1314"/>
      <c r="R75" s="815"/>
      <c r="S75" s="816"/>
      <c r="T75" s="1315"/>
      <c r="U75" s="817" t="str">
        <f>IF(OR(A75&lt;&gt;"",B75&lt;&gt;"",C75&lt;&gt;"",D75&lt;&gt;"",E75&lt;&gt;"",F75&lt;&gt;"",G75&lt;&gt;"",I75&lt;&gt;"",L75&lt;&gt;""),'Admin Sheet'!$B$44,"")</f>
        <v/>
      </c>
      <c r="V75" s="806"/>
      <c r="W75" s="439"/>
    </row>
    <row r="76" spans="1:23" ht="26.25" customHeight="1" x14ac:dyDescent="0.2">
      <c r="A76" s="1306"/>
      <c r="B76" s="1307"/>
      <c r="C76" s="1307"/>
      <c r="D76" s="1307"/>
      <c r="E76" s="1307"/>
      <c r="F76" s="1307"/>
      <c r="G76" s="1307"/>
      <c r="H76" s="1308">
        <f t="shared" si="4"/>
        <v>0</v>
      </c>
      <c r="I76" s="1307"/>
      <c r="J76" s="1308">
        <f t="shared" si="5"/>
        <v>0</v>
      </c>
      <c r="K76" s="1309"/>
      <c r="L76" s="1310"/>
      <c r="M76" s="1311">
        <f t="shared" si="6"/>
        <v>0</v>
      </c>
      <c r="N76" s="529"/>
      <c r="O76" s="1312"/>
      <c r="P76" s="1313">
        <f t="shared" si="0"/>
        <v>0</v>
      </c>
      <c r="Q76" s="1314"/>
      <c r="R76" s="815"/>
      <c r="S76" s="816"/>
      <c r="T76" s="1315"/>
      <c r="U76" s="817" t="str">
        <f>IF(OR(A76&lt;&gt;"",B76&lt;&gt;"",C76&lt;&gt;"",D76&lt;&gt;"",E76&lt;&gt;"",F76&lt;&gt;"",G76&lt;&gt;"",I76&lt;&gt;"",L76&lt;&gt;""),'Admin Sheet'!$B$44,"")</f>
        <v/>
      </c>
      <c r="V76" s="806"/>
      <c r="W76" s="439"/>
    </row>
    <row r="77" spans="1:23" ht="26.25" customHeight="1" x14ac:dyDescent="0.2">
      <c r="A77" s="1306"/>
      <c r="B77" s="1307"/>
      <c r="C77" s="1307"/>
      <c r="D77" s="1307"/>
      <c r="E77" s="1307"/>
      <c r="F77" s="1307"/>
      <c r="G77" s="1307"/>
      <c r="H77" s="1308">
        <f t="shared" si="4"/>
        <v>0</v>
      </c>
      <c r="I77" s="1307"/>
      <c r="J77" s="1308">
        <f t="shared" si="5"/>
        <v>0</v>
      </c>
      <c r="K77" s="1309"/>
      <c r="L77" s="1310"/>
      <c r="M77" s="1311">
        <f t="shared" si="6"/>
        <v>0</v>
      </c>
      <c r="N77" s="529"/>
      <c r="O77" s="1312"/>
      <c r="P77" s="1313">
        <f t="shared" si="0"/>
        <v>0</v>
      </c>
      <c r="Q77" s="1314"/>
      <c r="R77" s="815"/>
      <c r="S77" s="816"/>
      <c r="T77" s="1315"/>
      <c r="U77" s="817" t="str">
        <f>IF(OR(A77&lt;&gt;"",B77&lt;&gt;"",C77&lt;&gt;"",D77&lt;&gt;"",E77&lt;&gt;"",F77&lt;&gt;"",G77&lt;&gt;"",I77&lt;&gt;"",L77&lt;&gt;""),'Admin Sheet'!$B$44,"")</f>
        <v/>
      </c>
      <c r="V77" s="806"/>
      <c r="W77" s="439"/>
    </row>
    <row r="78" spans="1:23" ht="26.25" customHeight="1" x14ac:dyDescent="0.2">
      <c r="A78" s="1306"/>
      <c r="B78" s="1307"/>
      <c r="C78" s="1307"/>
      <c r="D78" s="1307"/>
      <c r="E78" s="1307"/>
      <c r="F78" s="1307"/>
      <c r="G78" s="1307"/>
      <c r="H78" s="1308">
        <f t="shared" si="4"/>
        <v>0</v>
      </c>
      <c r="I78" s="1307"/>
      <c r="J78" s="1308">
        <f t="shared" si="5"/>
        <v>0</v>
      </c>
      <c r="K78" s="1309"/>
      <c r="L78" s="1310"/>
      <c r="M78" s="1311">
        <f t="shared" si="6"/>
        <v>0</v>
      </c>
      <c r="N78" s="529"/>
      <c r="O78" s="1312"/>
      <c r="P78" s="1313">
        <f t="shared" si="0"/>
        <v>0</v>
      </c>
      <c r="Q78" s="1314"/>
      <c r="R78" s="815"/>
      <c r="S78" s="816"/>
      <c r="T78" s="1315"/>
      <c r="U78" s="817" t="str">
        <f>IF(OR(A78&lt;&gt;"",B78&lt;&gt;"",C78&lt;&gt;"",D78&lt;&gt;"",E78&lt;&gt;"",F78&lt;&gt;"",G78&lt;&gt;"",I78&lt;&gt;"",L78&lt;&gt;""),'Admin Sheet'!$B$44,"")</f>
        <v/>
      </c>
      <c r="V78" s="806"/>
      <c r="W78" s="439"/>
    </row>
    <row r="79" spans="1:23" ht="26.25" customHeight="1" x14ac:dyDescent="0.2">
      <c r="A79" s="1306"/>
      <c r="B79" s="1307"/>
      <c r="C79" s="1307"/>
      <c r="D79" s="1307"/>
      <c r="E79" s="1307"/>
      <c r="F79" s="1307"/>
      <c r="G79" s="1307"/>
      <c r="H79" s="1308">
        <f t="shared" si="4"/>
        <v>0</v>
      </c>
      <c r="I79" s="1307"/>
      <c r="J79" s="1308">
        <f t="shared" si="5"/>
        <v>0</v>
      </c>
      <c r="K79" s="1309"/>
      <c r="L79" s="1310"/>
      <c r="M79" s="1311">
        <f t="shared" si="6"/>
        <v>0</v>
      </c>
      <c r="N79" s="529"/>
      <c r="O79" s="1312"/>
      <c r="P79" s="1313">
        <f t="shared" si="0"/>
        <v>0</v>
      </c>
      <c r="Q79" s="1314"/>
      <c r="R79" s="815"/>
      <c r="S79" s="816"/>
      <c r="T79" s="1315"/>
      <c r="U79" s="817" t="str">
        <f>IF(OR(A79&lt;&gt;"",B79&lt;&gt;"",C79&lt;&gt;"",D79&lt;&gt;"",E79&lt;&gt;"",F79&lt;&gt;"",G79&lt;&gt;"",I79&lt;&gt;"",L79&lt;&gt;""),'Admin Sheet'!$B$44,"")</f>
        <v/>
      </c>
      <c r="V79" s="806"/>
      <c r="W79" s="439"/>
    </row>
    <row r="80" spans="1:23" ht="26.25" customHeight="1" x14ac:dyDescent="0.2">
      <c r="A80" s="1306"/>
      <c r="B80" s="1307"/>
      <c r="C80" s="1307"/>
      <c r="D80" s="1307"/>
      <c r="E80" s="1307"/>
      <c r="F80" s="1307"/>
      <c r="G80" s="1307"/>
      <c r="H80" s="1308">
        <f t="shared" si="4"/>
        <v>0</v>
      </c>
      <c r="I80" s="1307"/>
      <c r="J80" s="1308">
        <f t="shared" si="5"/>
        <v>0</v>
      </c>
      <c r="K80" s="1309"/>
      <c r="L80" s="1310"/>
      <c r="M80" s="1311">
        <f t="shared" si="6"/>
        <v>0</v>
      </c>
      <c r="N80" s="529"/>
      <c r="O80" s="1312"/>
      <c r="P80" s="1313">
        <f t="shared" si="0"/>
        <v>0</v>
      </c>
      <c r="Q80" s="1314"/>
      <c r="R80" s="815"/>
      <c r="S80" s="816"/>
      <c r="T80" s="1315"/>
      <c r="U80" s="817" t="str">
        <f>IF(OR(A80&lt;&gt;"",B80&lt;&gt;"",C80&lt;&gt;"",D80&lt;&gt;"",E80&lt;&gt;"",F80&lt;&gt;"",G80&lt;&gt;"",I80&lt;&gt;"",L80&lt;&gt;""),'Admin Sheet'!$B$44,"")</f>
        <v/>
      </c>
      <c r="V80" s="806"/>
      <c r="W80" s="439"/>
    </row>
    <row r="81" spans="1:23" ht="26.25" customHeight="1" x14ac:dyDescent="0.2">
      <c r="A81" s="1306"/>
      <c r="B81" s="1307"/>
      <c r="C81" s="1307"/>
      <c r="D81" s="1307"/>
      <c r="E81" s="1307"/>
      <c r="F81" s="1307"/>
      <c r="G81" s="1307"/>
      <c r="H81" s="1308">
        <f t="shared" si="4"/>
        <v>0</v>
      </c>
      <c r="I81" s="1307"/>
      <c r="J81" s="1308">
        <f t="shared" si="5"/>
        <v>0</v>
      </c>
      <c r="K81" s="1309"/>
      <c r="L81" s="1310"/>
      <c r="M81" s="1311">
        <f t="shared" si="6"/>
        <v>0</v>
      </c>
      <c r="N81" s="529"/>
      <c r="O81" s="1312"/>
      <c r="P81" s="1313">
        <f t="shared" si="0"/>
        <v>0</v>
      </c>
      <c r="Q81" s="1314"/>
      <c r="R81" s="815"/>
      <c r="S81" s="816"/>
      <c r="T81" s="1315"/>
      <c r="U81" s="817" t="str">
        <f>IF(OR(A81&lt;&gt;"",B81&lt;&gt;"",C81&lt;&gt;"",D81&lt;&gt;"",E81&lt;&gt;"",F81&lt;&gt;"",G81&lt;&gt;"",I81&lt;&gt;"",L81&lt;&gt;""),'Admin Sheet'!$B$44,"")</f>
        <v/>
      </c>
      <c r="V81" s="806"/>
      <c r="W81" s="439"/>
    </row>
    <row r="82" spans="1:23" ht="26.25" customHeight="1" x14ac:dyDescent="0.2">
      <c r="A82" s="1306"/>
      <c r="B82" s="1307"/>
      <c r="C82" s="1307"/>
      <c r="D82" s="1307"/>
      <c r="E82" s="1307"/>
      <c r="F82" s="1307"/>
      <c r="G82" s="1307"/>
      <c r="H82" s="1308">
        <f t="shared" si="4"/>
        <v>0</v>
      </c>
      <c r="I82" s="1307"/>
      <c r="J82" s="1308">
        <f t="shared" si="5"/>
        <v>0</v>
      </c>
      <c r="K82" s="1309"/>
      <c r="L82" s="1310"/>
      <c r="M82" s="1311">
        <f t="shared" si="6"/>
        <v>0</v>
      </c>
      <c r="N82" s="529"/>
      <c r="O82" s="1312"/>
      <c r="P82" s="1313">
        <f t="shared" si="0"/>
        <v>0</v>
      </c>
      <c r="Q82" s="1314"/>
      <c r="R82" s="815"/>
      <c r="S82" s="816"/>
      <c r="T82" s="1315"/>
      <c r="U82" s="817" t="str">
        <f>IF(OR(A82&lt;&gt;"",B82&lt;&gt;"",C82&lt;&gt;"",D82&lt;&gt;"",E82&lt;&gt;"",F82&lt;&gt;"",G82&lt;&gt;"",I82&lt;&gt;"",L82&lt;&gt;""),'Admin Sheet'!$B$44,"")</f>
        <v/>
      </c>
      <c r="V82" s="806"/>
      <c r="W82" s="439"/>
    </row>
    <row r="83" spans="1:23" ht="26.25" customHeight="1" x14ac:dyDescent="0.2">
      <c r="A83" s="1306"/>
      <c r="B83" s="1307"/>
      <c r="C83" s="1307"/>
      <c r="D83" s="1307"/>
      <c r="E83" s="1307"/>
      <c r="F83" s="1307"/>
      <c r="G83" s="1307"/>
      <c r="H83" s="1308">
        <f t="shared" si="4"/>
        <v>0</v>
      </c>
      <c r="I83" s="1307"/>
      <c r="J83" s="1308">
        <f t="shared" si="5"/>
        <v>0</v>
      </c>
      <c r="K83" s="1309"/>
      <c r="L83" s="1310"/>
      <c r="M83" s="1311">
        <f t="shared" si="6"/>
        <v>0</v>
      </c>
      <c r="N83" s="529"/>
      <c r="O83" s="1312"/>
      <c r="P83" s="1313">
        <f t="shared" si="0"/>
        <v>0</v>
      </c>
      <c r="Q83" s="1314"/>
      <c r="R83" s="815"/>
      <c r="S83" s="816"/>
      <c r="T83" s="1315"/>
      <c r="U83" s="817" t="str">
        <f>IF(OR(A83&lt;&gt;"",B83&lt;&gt;"",C83&lt;&gt;"",D83&lt;&gt;"",E83&lt;&gt;"",F83&lt;&gt;"",G83&lt;&gt;"",I83&lt;&gt;"",L83&lt;&gt;""),'Admin Sheet'!$B$44,"")</f>
        <v/>
      </c>
      <c r="V83" s="806"/>
      <c r="W83" s="439"/>
    </row>
    <row r="84" spans="1:23" ht="26.25" customHeight="1" x14ac:dyDescent="0.2">
      <c r="A84" s="1306"/>
      <c r="B84" s="1307"/>
      <c r="C84" s="1307"/>
      <c r="D84" s="1307"/>
      <c r="E84" s="1307"/>
      <c r="F84" s="1307"/>
      <c r="G84" s="1307"/>
      <c r="H84" s="1308">
        <f t="shared" si="4"/>
        <v>0</v>
      </c>
      <c r="I84" s="1307"/>
      <c r="J84" s="1308">
        <f t="shared" si="5"/>
        <v>0</v>
      </c>
      <c r="K84" s="1309"/>
      <c r="L84" s="1310"/>
      <c r="M84" s="1311">
        <f t="shared" si="6"/>
        <v>0</v>
      </c>
      <c r="N84" s="529"/>
      <c r="O84" s="1312"/>
      <c r="P84" s="1313">
        <f t="shared" si="0"/>
        <v>0</v>
      </c>
      <c r="Q84" s="1314"/>
      <c r="R84" s="815"/>
      <c r="S84" s="816"/>
      <c r="T84" s="1315"/>
      <c r="U84" s="817" t="str">
        <f>IF(OR(A84&lt;&gt;"",B84&lt;&gt;"",C84&lt;&gt;"",D84&lt;&gt;"",E84&lt;&gt;"",F84&lt;&gt;"",G84&lt;&gt;"",I84&lt;&gt;"",L84&lt;&gt;""),'Admin Sheet'!$B$44,"")</f>
        <v/>
      </c>
      <c r="V84" s="806"/>
      <c r="W84" s="439"/>
    </row>
    <row r="85" spans="1:23" ht="26.25" customHeight="1" x14ac:dyDescent="0.2">
      <c r="A85" s="1306"/>
      <c r="B85" s="1307"/>
      <c r="C85" s="1307"/>
      <c r="D85" s="1307"/>
      <c r="E85" s="1307"/>
      <c r="F85" s="1307"/>
      <c r="G85" s="1307"/>
      <c r="H85" s="1308">
        <f t="shared" si="4"/>
        <v>0</v>
      </c>
      <c r="I85" s="1307"/>
      <c r="J85" s="1308">
        <f t="shared" si="5"/>
        <v>0</v>
      </c>
      <c r="K85" s="1309"/>
      <c r="L85" s="1310"/>
      <c r="M85" s="1311">
        <f t="shared" si="6"/>
        <v>0</v>
      </c>
      <c r="N85" s="529"/>
      <c r="O85" s="1312"/>
      <c r="P85" s="1313">
        <f t="shared" si="0"/>
        <v>0</v>
      </c>
      <c r="Q85" s="1314"/>
      <c r="R85" s="815"/>
      <c r="S85" s="816"/>
      <c r="T85" s="1315"/>
      <c r="U85" s="817" t="str">
        <f>IF(OR(A85&lt;&gt;"",B85&lt;&gt;"",C85&lt;&gt;"",D85&lt;&gt;"",E85&lt;&gt;"",F85&lt;&gt;"",G85&lt;&gt;"",I85&lt;&gt;"",L85&lt;&gt;""),'Admin Sheet'!$B$44,"")</f>
        <v/>
      </c>
      <c r="V85" s="806"/>
      <c r="W85" s="439"/>
    </row>
    <row r="86" spans="1:23" ht="26.25" customHeight="1" x14ac:dyDescent="0.2">
      <c r="A86" s="1306"/>
      <c r="B86" s="1307"/>
      <c r="C86" s="1307"/>
      <c r="D86" s="1307"/>
      <c r="E86" s="1307"/>
      <c r="F86" s="1307"/>
      <c r="G86" s="1307"/>
      <c r="H86" s="1308">
        <f t="shared" si="4"/>
        <v>0</v>
      </c>
      <c r="I86" s="1307"/>
      <c r="J86" s="1308">
        <f t="shared" si="5"/>
        <v>0</v>
      </c>
      <c r="K86" s="1309"/>
      <c r="L86" s="1310"/>
      <c r="M86" s="1311">
        <f t="shared" si="6"/>
        <v>0</v>
      </c>
      <c r="N86" s="529"/>
      <c r="O86" s="1312"/>
      <c r="P86" s="1313">
        <f t="shared" si="0"/>
        <v>0</v>
      </c>
      <c r="Q86" s="1314"/>
      <c r="R86" s="815"/>
      <c r="S86" s="816"/>
      <c r="T86" s="1315"/>
      <c r="U86" s="817" t="str">
        <f>IF(OR(A86&lt;&gt;"",B86&lt;&gt;"",C86&lt;&gt;"",D86&lt;&gt;"",E86&lt;&gt;"",F86&lt;&gt;"",G86&lt;&gt;"",I86&lt;&gt;"",L86&lt;&gt;""),'Admin Sheet'!$B$44,"")</f>
        <v/>
      </c>
      <c r="V86" s="806"/>
      <c r="W86" s="439"/>
    </row>
    <row r="87" spans="1:23" ht="26.25" customHeight="1" x14ac:dyDescent="0.2">
      <c r="A87" s="1306"/>
      <c r="B87" s="1307"/>
      <c r="C87" s="1307"/>
      <c r="D87" s="1307"/>
      <c r="E87" s="1307"/>
      <c r="F87" s="1307"/>
      <c r="G87" s="1307"/>
      <c r="H87" s="1308">
        <f t="shared" si="4"/>
        <v>0</v>
      </c>
      <c r="I87" s="1307"/>
      <c r="J87" s="1308">
        <f t="shared" si="5"/>
        <v>0</v>
      </c>
      <c r="K87" s="1309"/>
      <c r="L87" s="1310"/>
      <c r="M87" s="1311">
        <f t="shared" si="6"/>
        <v>0</v>
      </c>
      <c r="N87" s="529"/>
      <c r="O87" s="1312"/>
      <c r="P87" s="1313">
        <f t="shared" si="0"/>
        <v>0</v>
      </c>
      <c r="Q87" s="1314"/>
      <c r="R87" s="815"/>
      <c r="S87" s="816"/>
      <c r="T87" s="1315"/>
      <c r="U87" s="817" t="str">
        <f>IF(OR(A87&lt;&gt;"",B87&lt;&gt;"",C87&lt;&gt;"",D87&lt;&gt;"",E87&lt;&gt;"",F87&lt;&gt;"",G87&lt;&gt;"",I87&lt;&gt;"",L87&lt;&gt;""),'Admin Sheet'!$B$44,"")</f>
        <v/>
      </c>
      <c r="V87" s="806"/>
      <c r="W87" s="439"/>
    </row>
    <row r="88" spans="1:23" ht="26.25" customHeight="1" x14ac:dyDescent="0.2">
      <c r="A88" s="1306"/>
      <c r="B88" s="1307"/>
      <c r="C88" s="1307"/>
      <c r="D88" s="1307"/>
      <c r="E88" s="1307"/>
      <c r="F88" s="1307"/>
      <c r="G88" s="1307"/>
      <c r="H88" s="1308">
        <f t="shared" si="4"/>
        <v>0</v>
      </c>
      <c r="I88" s="1307"/>
      <c r="J88" s="1308">
        <f t="shared" si="5"/>
        <v>0</v>
      </c>
      <c r="K88" s="1309"/>
      <c r="L88" s="1310"/>
      <c r="M88" s="1311">
        <f t="shared" si="6"/>
        <v>0</v>
      </c>
      <c r="N88" s="529"/>
      <c r="O88" s="1312"/>
      <c r="P88" s="1313">
        <f t="shared" si="0"/>
        <v>0</v>
      </c>
      <c r="Q88" s="1314"/>
      <c r="R88" s="815"/>
      <c r="S88" s="816"/>
      <c r="T88" s="1315"/>
      <c r="U88" s="817" t="str">
        <f>IF(OR(A88&lt;&gt;"",B88&lt;&gt;"",C88&lt;&gt;"",D88&lt;&gt;"",E88&lt;&gt;"",F88&lt;&gt;"",G88&lt;&gt;"",I88&lt;&gt;"",L88&lt;&gt;""),'Admin Sheet'!$B$44,"")</f>
        <v/>
      </c>
      <c r="V88" s="806"/>
      <c r="W88" s="439"/>
    </row>
    <row r="89" spans="1:23" ht="26.25" customHeight="1" x14ac:dyDescent="0.2">
      <c r="A89" s="1306"/>
      <c r="B89" s="1307"/>
      <c r="C89" s="1307"/>
      <c r="D89" s="1307"/>
      <c r="E89" s="1307"/>
      <c r="F89" s="1307"/>
      <c r="G89" s="1307"/>
      <c r="H89" s="1308">
        <f t="shared" si="4"/>
        <v>0</v>
      </c>
      <c r="I89" s="1307"/>
      <c r="J89" s="1308">
        <f t="shared" si="5"/>
        <v>0</v>
      </c>
      <c r="K89" s="1309"/>
      <c r="L89" s="1310"/>
      <c r="M89" s="1311">
        <f t="shared" si="6"/>
        <v>0</v>
      </c>
      <c r="N89" s="529"/>
      <c r="O89" s="1312"/>
      <c r="P89" s="1313">
        <f t="shared" si="0"/>
        <v>0</v>
      </c>
      <c r="Q89" s="1314"/>
      <c r="R89" s="815"/>
      <c r="S89" s="816"/>
      <c r="T89" s="1315"/>
      <c r="U89" s="817" t="str">
        <f>IF(OR(A89&lt;&gt;"",B89&lt;&gt;"",C89&lt;&gt;"",D89&lt;&gt;"",E89&lt;&gt;"",F89&lt;&gt;"",G89&lt;&gt;"",I89&lt;&gt;"",L89&lt;&gt;""),'Admin Sheet'!$B$44,"")</f>
        <v/>
      </c>
      <c r="V89" s="806"/>
      <c r="W89" s="439"/>
    </row>
    <row r="90" spans="1:23" ht="26.25" customHeight="1" x14ac:dyDescent="0.2">
      <c r="A90" s="1306"/>
      <c r="B90" s="1307"/>
      <c r="C90" s="1307"/>
      <c r="D90" s="1307"/>
      <c r="E90" s="1307"/>
      <c r="F90" s="1307"/>
      <c r="G90" s="1307"/>
      <c r="H90" s="1308">
        <f t="shared" si="4"/>
        <v>0</v>
      </c>
      <c r="I90" s="1307"/>
      <c r="J90" s="1308">
        <f t="shared" si="5"/>
        <v>0</v>
      </c>
      <c r="K90" s="1309"/>
      <c r="L90" s="1310"/>
      <c r="M90" s="1311">
        <f t="shared" si="6"/>
        <v>0</v>
      </c>
      <c r="N90" s="529"/>
      <c r="O90" s="1312"/>
      <c r="P90" s="1313">
        <f t="shared" si="0"/>
        <v>0</v>
      </c>
      <c r="Q90" s="1314"/>
      <c r="R90" s="815"/>
      <c r="S90" s="816"/>
      <c r="T90" s="1315"/>
      <c r="U90" s="817" t="str">
        <f>IF(OR(A90&lt;&gt;"",B90&lt;&gt;"",C90&lt;&gt;"",D90&lt;&gt;"",E90&lt;&gt;"",F90&lt;&gt;"",G90&lt;&gt;"",I90&lt;&gt;"",L90&lt;&gt;""),'Admin Sheet'!$B$44,"")</f>
        <v/>
      </c>
      <c r="V90" s="806"/>
      <c r="W90" s="439"/>
    </row>
    <row r="91" spans="1:23" ht="26.25" customHeight="1" x14ac:dyDescent="0.2">
      <c r="A91" s="1306"/>
      <c r="B91" s="1307"/>
      <c r="C91" s="1307"/>
      <c r="D91" s="1307"/>
      <c r="E91" s="1307"/>
      <c r="F91" s="1307"/>
      <c r="G91" s="1307"/>
      <c r="H91" s="1308">
        <f t="shared" si="4"/>
        <v>0</v>
      </c>
      <c r="I91" s="1307"/>
      <c r="J91" s="1308">
        <f t="shared" si="5"/>
        <v>0</v>
      </c>
      <c r="K91" s="1309"/>
      <c r="L91" s="1310"/>
      <c r="M91" s="1311">
        <f t="shared" si="6"/>
        <v>0</v>
      </c>
      <c r="N91" s="529"/>
      <c r="O91" s="1312"/>
      <c r="P91" s="1313">
        <f t="shared" si="0"/>
        <v>0</v>
      </c>
      <c r="Q91" s="1314"/>
      <c r="R91" s="815"/>
      <c r="S91" s="816"/>
      <c r="T91" s="1315"/>
      <c r="U91" s="817" t="str">
        <f>IF(OR(A91&lt;&gt;"",B91&lt;&gt;"",C91&lt;&gt;"",D91&lt;&gt;"",E91&lt;&gt;"",F91&lt;&gt;"",G91&lt;&gt;"",I91&lt;&gt;"",L91&lt;&gt;""),'Admin Sheet'!$B$44,"")</f>
        <v/>
      </c>
      <c r="V91" s="806"/>
      <c r="W91" s="439"/>
    </row>
    <row r="92" spans="1:23" ht="26.25" customHeight="1" x14ac:dyDescent="0.2">
      <c r="A92" s="1306"/>
      <c r="B92" s="1307"/>
      <c r="C92" s="1307"/>
      <c r="D92" s="1307"/>
      <c r="E92" s="1307"/>
      <c r="F92" s="1307"/>
      <c r="G92" s="1307"/>
      <c r="H92" s="1308">
        <f t="shared" si="4"/>
        <v>0</v>
      </c>
      <c r="I92" s="1307"/>
      <c r="J92" s="1308">
        <f t="shared" si="5"/>
        <v>0</v>
      </c>
      <c r="K92" s="1309"/>
      <c r="L92" s="1310"/>
      <c r="M92" s="1311">
        <f t="shared" si="6"/>
        <v>0</v>
      </c>
      <c r="N92" s="529"/>
      <c r="O92" s="1312"/>
      <c r="P92" s="1313">
        <f t="shared" si="0"/>
        <v>0</v>
      </c>
      <c r="Q92" s="1314"/>
      <c r="R92" s="815"/>
      <c r="S92" s="816"/>
      <c r="T92" s="1315"/>
      <c r="U92" s="817" t="str">
        <f>IF(OR(A92&lt;&gt;"",B92&lt;&gt;"",C92&lt;&gt;"",D92&lt;&gt;"",E92&lt;&gt;"",F92&lt;&gt;"",G92&lt;&gt;"",I92&lt;&gt;"",L92&lt;&gt;""),'Admin Sheet'!$B$44,"")</f>
        <v/>
      </c>
      <c r="V92" s="806"/>
      <c r="W92" s="439"/>
    </row>
    <row r="93" spans="1:23" ht="26.25" customHeight="1" x14ac:dyDescent="0.2">
      <c r="A93" s="1306"/>
      <c r="B93" s="1307"/>
      <c r="C93" s="1307"/>
      <c r="D93" s="1307"/>
      <c r="E93" s="1307"/>
      <c r="F93" s="1307"/>
      <c r="G93" s="1307"/>
      <c r="H93" s="1308">
        <f t="shared" si="4"/>
        <v>0</v>
      </c>
      <c r="I93" s="1307"/>
      <c r="J93" s="1308">
        <f t="shared" si="5"/>
        <v>0</v>
      </c>
      <c r="K93" s="1309"/>
      <c r="L93" s="1310"/>
      <c r="M93" s="1311">
        <f t="shared" si="6"/>
        <v>0</v>
      </c>
      <c r="N93" s="529"/>
      <c r="O93" s="1312"/>
      <c r="P93" s="1313">
        <f t="shared" si="0"/>
        <v>0</v>
      </c>
      <c r="Q93" s="1314"/>
      <c r="R93" s="815"/>
      <c r="S93" s="816"/>
      <c r="T93" s="1315"/>
      <c r="U93" s="817" t="str">
        <f>IF(OR(A93&lt;&gt;"",B93&lt;&gt;"",C93&lt;&gt;"",D93&lt;&gt;"",E93&lt;&gt;"",F93&lt;&gt;"",G93&lt;&gt;"",I93&lt;&gt;"",L93&lt;&gt;""),'Admin Sheet'!$B$44,"")</f>
        <v/>
      </c>
      <c r="V93" s="806"/>
      <c r="W93" s="439"/>
    </row>
    <row r="94" spans="1:23" ht="26.25" customHeight="1" x14ac:dyDescent="0.2">
      <c r="A94" s="1306"/>
      <c r="B94" s="1307"/>
      <c r="C94" s="1307"/>
      <c r="D94" s="1307"/>
      <c r="E94" s="1307"/>
      <c r="F94" s="1307"/>
      <c r="G94" s="1307"/>
      <c r="H94" s="1308">
        <f t="shared" si="4"/>
        <v>0</v>
      </c>
      <c r="I94" s="1307"/>
      <c r="J94" s="1308">
        <f t="shared" si="5"/>
        <v>0</v>
      </c>
      <c r="K94" s="1309"/>
      <c r="L94" s="1310"/>
      <c r="M94" s="1311">
        <f t="shared" si="6"/>
        <v>0</v>
      </c>
      <c r="N94" s="529"/>
      <c r="O94" s="1312"/>
      <c r="P94" s="1313">
        <f t="shared" si="0"/>
        <v>0</v>
      </c>
      <c r="Q94" s="1314"/>
      <c r="R94" s="815"/>
      <c r="S94" s="816"/>
      <c r="T94" s="1315"/>
      <c r="U94" s="817" t="str">
        <f>IF(OR(A94&lt;&gt;"",B94&lt;&gt;"",C94&lt;&gt;"",D94&lt;&gt;"",E94&lt;&gt;"",F94&lt;&gt;"",G94&lt;&gt;"",I94&lt;&gt;"",L94&lt;&gt;""),'Admin Sheet'!$B$44,"")</f>
        <v/>
      </c>
      <c r="V94" s="806"/>
      <c r="W94" s="439"/>
    </row>
    <row r="95" spans="1:23" ht="26.25" customHeight="1" x14ac:dyDescent="0.2">
      <c r="A95" s="1306"/>
      <c r="B95" s="1307"/>
      <c r="C95" s="1307"/>
      <c r="D95" s="1307"/>
      <c r="E95" s="1307"/>
      <c r="F95" s="1307"/>
      <c r="G95" s="1307"/>
      <c r="H95" s="1308">
        <f t="shared" si="4"/>
        <v>0</v>
      </c>
      <c r="I95" s="1307"/>
      <c r="J95" s="1308">
        <f t="shared" si="5"/>
        <v>0</v>
      </c>
      <c r="K95" s="1309"/>
      <c r="L95" s="1310"/>
      <c r="M95" s="1311">
        <f t="shared" si="6"/>
        <v>0</v>
      </c>
      <c r="N95" s="529"/>
      <c r="O95" s="1312"/>
      <c r="P95" s="1313">
        <f t="shared" si="0"/>
        <v>0</v>
      </c>
      <c r="Q95" s="1314"/>
      <c r="R95" s="815"/>
      <c r="S95" s="816"/>
      <c r="T95" s="1315"/>
      <c r="U95" s="817" t="str">
        <f>IF(OR(A95&lt;&gt;"",B95&lt;&gt;"",C95&lt;&gt;"",D95&lt;&gt;"",E95&lt;&gt;"",F95&lt;&gt;"",G95&lt;&gt;"",I95&lt;&gt;"",L95&lt;&gt;""),'Admin Sheet'!$B$44,"")</f>
        <v/>
      </c>
      <c r="V95" s="806"/>
      <c r="W95" s="439"/>
    </row>
    <row r="96" spans="1:23" ht="26.25" customHeight="1" x14ac:dyDescent="0.2">
      <c r="A96" s="1306"/>
      <c r="B96" s="1307"/>
      <c r="C96" s="1307"/>
      <c r="D96" s="1307"/>
      <c r="E96" s="1307"/>
      <c r="F96" s="1307"/>
      <c r="G96" s="1307"/>
      <c r="H96" s="1308">
        <f t="shared" si="4"/>
        <v>0</v>
      </c>
      <c r="I96" s="1307"/>
      <c r="J96" s="1308">
        <f t="shared" si="5"/>
        <v>0</v>
      </c>
      <c r="K96" s="1309"/>
      <c r="L96" s="1310"/>
      <c r="M96" s="1311">
        <f t="shared" si="6"/>
        <v>0</v>
      </c>
      <c r="N96" s="529"/>
      <c r="O96" s="1312"/>
      <c r="P96" s="1313">
        <f t="shared" si="0"/>
        <v>0</v>
      </c>
      <c r="Q96" s="1314"/>
      <c r="R96" s="815"/>
      <c r="S96" s="816"/>
      <c r="T96" s="1315"/>
      <c r="U96" s="817" t="str">
        <f>IF(OR(A96&lt;&gt;"",B96&lt;&gt;"",C96&lt;&gt;"",D96&lt;&gt;"",E96&lt;&gt;"",F96&lt;&gt;"",G96&lt;&gt;"",I96&lt;&gt;"",L96&lt;&gt;""),'Admin Sheet'!$B$44,"")</f>
        <v/>
      </c>
      <c r="V96" s="806"/>
      <c r="W96" s="439"/>
    </row>
    <row r="97" spans="1:23" ht="26.25" customHeight="1" x14ac:dyDescent="0.2">
      <c r="A97" s="1306"/>
      <c r="B97" s="1307"/>
      <c r="C97" s="1307"/>
      <c r="D97" s="1307"/>
      <c r="E97" s="1307"/>
      <c r="F97" s="1307"/>
      <c r="G97" s="1307"/>
      <c r="H97" s="1308">
        <f t="shared" si="4"/>
        <v>0</v>
      </c>
      <c r="I97" s="1307"/>
      <c r="J97" s="1308">
        <f t="shared" si="5"/>
        <v>0</v>
      </c>
      <c r="K97" s="1309"/>
      <c r="L97" s="1310"/>
      <c r="M97" s="1311">
        <f t="shared" si="6"/>
        <v>0</v>
      </c>
      <c r="N97" s="529"/>
      <c r="O97" s="1312"/>
      <c r="P97" s="1313">
        <f t="shared" si="0"/>
        <v>0</v>
      </c>
      <c r="Q97" s="1314"/>
      <c r="R97" s="815"/>
      <c r="S97" s="816"/>
      <c r="T97" s="1315"/>
      <c r="U97" s="817" t="str">
        <f>IF(OR(A97&lt;&gt;"",B97&lt;&gt;"",C97&lt;&gt;"",D97&lt;&gt;"",E97&lt;&gt;"",F97&lt;&gt;"",G97&lt;&gt;"",I97&lt;&gt;"",L97&lt;&gt;""),'Admin Sheet'!$B$44,"")</f>
        <v/>
      </c>
      <c r="V97" s="806"/>
      <c r="W97" s="439"/>
    </row>
    <row r="98" spans="1:23" ht="26.25" customHeight="1" x14ac:dyDescent="0.2">
      <c r="A98" s="1306"/>
      <c r="B98" s="1307"/>
      <c r="C98" s="1307"/>
      <c r="D98" s="1307"/>
      <c r="E98" s="1307"/>
      <c r="F98" s="1307"/>
      <c r="G98" s="1307"/>
      <c r="H98" s="1308">
        <f t="shared" si="4"/>
        <v>0</v>
      </c>
      <c r="I98" s="1307"/>
      <c r="J98" s="1308">
        <f t="shared" si="5"/>
        <v>0</v>
      </c>
      <c r="K98" s="1309"/>
      <c r="L98" s="1310"/>
      <c r="M98" s="1311">
        <f t="shared" si="6"/>
        <v>0</v>
      </c>
      <c r="N98" s="529"/>
      <c r="O98" s="1312"/>
      <c r="P98" s="1313">
        <f t="shared" si="0"/>
        <v>0</v>
      </c>
      <c r="Q98" s="1314"/>
      <c r="R98" s="815"/>
      <c r="S98" s="816"/>
      <c r="T98" s="1315"/>
      <c r="U98" s="817" t="str">
        <f>IF(OR(A98&lt;&gt;"",B98&lt;&gt;"",C98&lt;&gt;"",D98&lt;&gt;"",E98&lt;&gt;"",F98&lt;&gt;"",G98&lt;&gt;"",I98&lt;&gt;"",L98&lt;&gt;""),'Admin Sheet'!$B$44,"")</f>
        <v/>
      </c>
      <c r="V98" s="806"/>
      <c r="W98" s="439"/>
    </row>
    <row r="99" spans="1:23" ht="26.25" customHeight="1" x14ac:dyDescent="0.2">
      <c r="A99" s="1306"/>
      <c r="B99" s="1307"/>
      <c r="C99" s="1307"/>
      <c r="D99" s="1307"/>
      <c r="E99" s="1307"/>
      <c r="F99" s="1307"/>
      <c r="G99" s="1307"/>
      <c r="H99" s="1308">
        <f t="shared" si="4"/>
        <v>0</v>
      </c>
      <c r="I99" s="1307"/>
      <c r="J99" s="1308">
        <f t="shared" si="5"/>
        <v>0</v>
      </c>
      <c r="K99" s="1309"/>
      <c r="L99" s="1310"/>
      <c r="M99" s="1311">
        <f t="shared" si="6"/>
        <v>0</v>
      </c>
      <c r="N99" s="529"/>
      <c r="O99" s="1312"/>
      <c r="P99" s="1313">
        <f t="shared" si="0"/>
        <v>0</v>
      </c>
      <c r="Q99" s="1314"/>
      <c r="R99" s="815"/>
      <c r="S99" s="816"/>
      <c r="T99" s="1315"/>
      <c r="U99" s="817" t="str">
        <f>IF(OR(A99&lt;&gt;"",B99&lt;&gt;"",C99&lt;&gt;"",D99&lt;&gt;"",E99&lt;&gt;"",F99&lt;&gt;"",G99&lt;&gt;"",I99&lt;&gt;"",L99&lt;&gt;""),'Admin Sheet'!$B$44,"")</f>
        <v/>
      </c>
      <c r="V99" s="806"/>
      <c r="W99" s="439"/>
    </row>
    <row r="100" spans="1:23" ht="26.25" customHeight="1" x14ac:dyDescent="0.2">
      <c r="A100" s="1306"/>
      <c r="B100" s="1307"/>
      <c r="C100" s="1307"/>
      <c r="D100" s="1307"/>
      <c r="E100" s="1307"/>
      <c r="F100" s="1307"/>
      <c r="G100" s="1307"/>
      <c r="H100" s="1308">
        <f t="shared" si="4"/>
        <v>0</v>
      </c>
      <c r="I100" s="1307"/>
      <c r="J100" s="1308">
        <f t="shared" si="5"/>
        <v>0</v>
      </c>
      <c r="K100" s="1309"/>
      <c r="L100" s="1310"/>
      <c r="M100" s="1311">
        <f t="shared" si="6"/>
        <v>0</v>
      </c>
      <c r="N100" s="529"/>
      <c r="O100" s="1312"/>
      <c r="P100" s="1313">
        <f t="shared" si="0"/>
        <v>0</v>
      </c>
      <c r="Q100" s="1314"/>
      <c r="R100" s="815"/>
      <c r="S100" s="816"/>
      <c r="T100" s="1315"/>
      <c r="U100" s="817" t="str">
        <f>IF(OR(A100&lt;&gt;"",B100&lt;&gt;"",C100&lt;&gt;"",D100&lt;&gt;"",E100&lt;&gt;"",F100&lt;&gt;"",G100&lt;&gt;"",I100&lt;&gt;"",L100&lt;&gt;""),'Admin Sheet'!$B$44,"")</f>
        <v/>
      </c>
      <c r="V100" s="806"/>
      <c r="W100" s="439"/>
    </row>
    <row r="101" spans="1:23" ht="26.25" customHeight="1" x14ac:dyDescent="0.2">
      <c r="A101" s="1306"/>
      <c r="B101" s="1307"/>
      <c r="C101" s="1307"/>
      <c r="D101" s="1307"/>
      <c r="E101" s="1307"/>
      <c r="F101" s="1307"/>
      <c r="G101" s="1307"/>
      <c r="H101" s="1308">
        <f t="shared" si="4"/>
        <v>0</v>
      </c>
      <c r="I101" s="1307"/>
      <c r="J101" s="1308">
        <f t="shared" si="5"/>
        <v>0</v>
      </c>
      <c r="K101" s="1309"/>
      <c r="L101" s="1310"/>
      <c r="M101" s="1311">
        <f t="shared" si="6"/>
        <v>0</v>
      </c>
      <c r="N101" s="529"/>
      <c r="O101" s="1312"/>
      <c r="P101" s="1313">
        <f t="shared" si="0"/>
        <v>0</v>
      </c>
      <c r="Q101" s="1314"/>
      <c r="R101" s="815"/>
      <c r="S101" s="816"/>
      <c r="T101" s="1315"/>
      <c r="U101" s="817" t="str">
        <f>IF(OR(A101&lt;&gt;"",B101&lt;&gt;"",C101&lt;&gt;"",D101&lt;&gt;"",E101&lt;&gt;"",F101&lt;&gt;"",G101&lt;&gt;"",I101&lt;&gt;"",L101&lt;&gt;""),'Admin Sheet'!$B$44,"")</f>
        <v/>
      </c>
      <c r="V101" s="806"/>
      <c r="W101" s="439"/>
    </row>
    <row r="102" spans="1:23" ht="26.25" customHeight="1" x14ac:dyDescent="0.2">
      <c r="A102" s="1306"/>
      <c r="B102" s="1307"/>
      <c r="C102" s="1307"/>
      <c r="D102" s="1307"/>
      <c r="E102" s="1307"/>
      <c r="F102" s="1307"/>
      <c r="G102" s="1307"/>
      <c r="H102" s="1308">
        <f t="shared" si="4"/>
        <v>0</v>
      </c>
      <c r="I102" s="1307"/>
      <c r="J102" s="1308">
        <f t="shared" si="5"/>
        <v>0</v>
      </c>
      <c r="K102" s="1309"/>
      <c r="L102" s="1310"/>
      <c r="M102" s="1311">
        <f t="shared" si="6"/>
        <v>0</v>
      </c>
      <c r="N102" s="529"/>
      <c r="O102" s="1312"/>
      <c r="P102" s="1313">
        <f t="shared" si="0"/>
        <v>0</v>
      </c>
      <c r="Q102" s="1314"/>
      <c r="R102" s="815"/>
      <c r="S102" s="816"/>
      <c r="T102" s="1315"/>
      <c r="U102" s="817" t="str">
        <f>IF(OR(A102&lt;&gt;"",B102&lt;&gt;"",C102&lt;&gt;"",D102&lt;&gt;"",E102&lt;&gt;"",F102&lt;&gt;"",G102&lt;&gt;"",I102&lt;&gt;"",L102&lt;&gt;""),'Admin Sheet'!$B$44,"")</f>
        <v/>
      </c>
      <c r="V102" s="806"/>
      <c r="W102" s="439"/>
    </row>
    <row r="103" spans="1:23" ht="26.25" customHeight="1" x14ac:dyDescent="0.2">
      <c r="A103" s="1306"/>
      <c r="B103" s="1307"/>
      <c r="C103" s="1307"/>
      <c r="D103" s="1307"/>
      <c r="E103" s="1307"/>
      <c r="F103" s="1307"/>
      <c r="G103" s="1307"/>
      <c r="H103" s="1308">
        <f t="shared" si="4"/>
        <v>0</v>
      </c>
      <c r="I103" s="1307"/>
      <c r="J103" s="1308">
        <f t="shared" si="5"/>
        <v>0</v>
      </c>
      <c r="K103" s="1309"/>
      <c r="L103" s="1310"/>
      <c r="M103" s="1311">
        <f t="shared" si="6"/>
        <v>0</v>
      </c>
      <c r="N103" s="529"/>
      <c r="O103" s="1312"/>
      <c r="P103" s="1313">
        <f t="shared" si="0"/>
        <v>0</v>
      </c>
      <c r="Q103" s="1314"/>
      <c r="R103" s="815"/>
      <c r="S103" s="816"/>
      <c r="T103" s="1315"/>
      <c r="U103" s="817" t="str">
        <f>IF(OR(A103&lt;&gt;"",B103&lt;&gt;"",C103&lt;&gt;"",D103&lt;&gt;"",E103&lt;&gt;"",F103&lt;&gt;"",G103&lt;&gt;"",I103&lt;&gt;"",L103&lt;&gt;""),'Admin Sheet'!$B$44,"")</f>
        <v/>
      </c>
      <c r="V103" s="806"/>
      <c r="W103" s="439"/>
    </row>
    <row r="104" spans="1:23" ht="26.25" customHeight="1" x14ac:dyDescent="0.2">
      <c r="A104" s="1306"/>
      <c r="B104" s="1307"/>
      <c r="C104" s="1307"/>
      <c r="D104" s="1307"/>
      <c r="E104" s="1307"/>
      <c r="F104" s="1307"/>
      <c r="G104" s="1307"/>
      <c r="H104" s="1308">
        <f t="shared" si="4"/>
        <v>0</v>
      </c>
      <c r="I104" s="1307"/>
      <c r="J104" s="1308">
        <f t="shared" si="5"/>
        <v>0</v>
      </c>
      <c r="K104" s="1309"/>
      <c r="L104" s="1310"/>
      <c r="M104" s="1311">
        <f t="shared" si="6"/>
        <v>0</v>
      </c>
      <c r="N104" s="529"/>
      <c r="O104" s="1312"/>
      <c r="P104" s="1313">
        <f t="shared" si="0"/>
        <v>0</v>
      </c>
      <c r="Q104" s="1314"/>
      <c r="R104" s="815"/>
      <c r="S104" s="816"/>
      <c r="T104" s="1315"/>
      <c r="U104" s="817" t="str">
        <f>IF(OR(A104&lt;&gt;"",B104&lt;&gt;"",C104&lt;&gt;"",D104&lt;&gt;"",E104&lt;&gt;"",F104&lt;&gt;"",G104&lt;&gt;"",I104&lt;&gt;"",L104&lt;&gt;""),'Admin Sheet'!$B$44,"")</f>
        <v/>
      </c>
      <c r="V104" s="806"/>
      <c r="W104" s="439"/>
    </row>
    <row r="105" spans="1:23" ht="26.25" customHeight="1" x14ac:dyDescent="0.2">
      <c r="A105" s="1306"/>
      <c r="B105" s="1307"/>
      <c r="C105" s="1307"/>
      <c r="D105" s="1307"/>
      <c r="E105" s="1307"/>
      <c r="F105" s="1307"/>
      <c r="G105" s="1307"/>
      <c r="H105" s="1308">
        <f t="shared" si="4"/>
        <v>0</v>
      </c>
      <c r="I105" s="1307"/>
      <c r="J105" s="1308">
        <f t="shared" si="5"/>
        <v>0</v>
      </c>
      <c r="K105" s="1309"/>
      <c r="L105" s="1310"/>
      <c r="M105" s="1311">
        <f t="shared" si="6"/>
        <v>0</v>
      </c>
      <c r="N105" s="529"/>
      <c r="O105" s="1312"/>
      <c r="P105" s="1313">
        <f t="shared" si="0"/>
        <v>0</v>
      </c>
      <c r="Q105" s="1314"/>
      <c r="R105" s="815"/>
      <c r="S105" s="816"/>
      <c r="T105" s="1315"/>
      <c r="U105" s="817" t="str">
        <f>IF(OR(A105&lt;&gt;"",B105&lt;&gt;"",C105&lt;&gt;"",D105&lt;&gt;"",E105&lt;&gt;"",F105&lt;&gt;"",G105&lt;&gt;"",I105&lt;&gt;"",L105&lt;&gt;""),'Admin Sheet'!$B$44,"")</f>
        <v/>
      </c>
      <c r="V105" s="806"/>
      <c r="W105" s="439"/>
    </row>
    <row r="106" spans="1:23" ht="26.25" customHeight="1" x14ac:dyDescent="0.2">
      <c r="A106" s="1306"/>
      <c r="B106" s="1307"/>
      <c r="C106" s="1307"/>
      <c r="D106" s="1307"/>
      <c r="E106" s="1307"/>
      <c r="F106" s="1307"/>
      <c r="G106" s="1307"/>
      <c r="H106" s="1308">
        <f t="shared" si="4"/>
        <v>0</v>
      </c>
      <c r="I106" s="1307"/>
      <c r="J106" s="1308">
        <f t="shared" si="5"/>
        <v>0</v>
      </c>
      <c r="K106" s="1309"/>
      <c r="L106" s="1310"/>
      <c r="M106" s="1311">
        <f t="shared" si="6"/>
        <v>0</v>
      </c>
      <c r="N106" s="529"/>
      <c r="O106" s="1312"/>
      <c r="P106" s="1313">
        <f t="shared" si="0"/>
        <v>0</v>
      </c>
      <c r="Q106" s="1314"/>
      <c r="R106" s="815"/>
      <c r="S106" s="816"/>
      <c r="T106" s="1315"/>
      <c r="U106" s="817" t="str">
        <f>IF(OR(A106&lt;&gt;"",B106&lt;&gt;"",C106&lt;&gt;"",D106&lt;&gt;"",E106&lt;&gt;"",F106&lt;&gt;"",G106&lt;&gt;"",I106&lt;&gt;"",L106&lt;&gt;""),'Admin Sheet'!$B$44,"")</f>
        <v/>
      </c>
      <c r="V106" s="806"/>
      <c r="W106" s="439"/>
    </row>
    <row r="107" spans="1:23" ht="26.25" customHeight="1" x14ac:dyDescent="0.2">
      <c r="A107" s="1306"/>
      <c r="B107" s="1307"/>
      <c r="C107" s="1307"/>
      <c r="D107" s="1307"/>
      <c r="E107" s="1307"/>
      <c r="F107" s="1307"/>
      <c r="G107" s="1307"/>
      <c r="H107" s="1308">
        <f t="shared" si="4"/>
        <v>0</v>
      </c>
      <c r="I107" s="1307"/>
      <c r="J107" s="1308">
        <f t="shared" si="5"/>
        <v>0</v>
      </c>
      <c r="K107" s="1309"/>
      <c r="L107" s="1310"/>
      <c r="M107" s="1311">
        <f t="shared" si="6"/>
        <v>0</v>
      </c>
      <c r="N107" s="529"/>
      <c r="O107" s="1312"/>
      <c r="P107" s="1313">
        <f t="shared" si="0"/>
        <v>0</v>
      </c>
      <c r="Q107" s="1314"/>
      <c r="R107" s="815"/>
      <c r="S107" s="816"/>
      <c r="T107" s="1315"/>
      <c r="U107" s="817" t="str">
        <f>IF(OR(A107&lt;&gt;"",B107&lt;&gt;"",C107&lt;&gt;"",D107&lt;&gt;"",E107&lt;&gt;"",F107&lt;&gt;"",G107&lt;&gt;"",I107&lt;&gt;"",L107&lt;&gt;""),'Admin Sheet'!$B$44,"")</f>
        <v/>
      </c>
      <c r="V107" s="806"/>
      <c r="W107" s="439"/>
    </row>
    <row r="108" spans="1:23" ht="26.25" customHeight="1" x14ac:dyDescent="0.2">
      <c r="A108" s="1306"/>
      <c r="B108" s="1307"/>
      <c r="C108" s="1307"/>
      <c r="D108" s="1307"/>
      <c r="E108" s="1307"/>
      <c r="F108" s="1307"/>
      <c r="G108" s="1307"/>
      <c r="H108" s="1308">
        <f t="shared" si="4"/>
        <v>0</v>
      </c>
      <c r="I108" s="1307"/>
      <c r="J108" s="1308">
        <f t="shared" si="5"/>
        <v>0</v>
      </c>
      <c r="K108" s="1309"/>
      <c r="L108" s="1310"/>
      <c r="M108" s="1311">
        <f t="shared" si="6"/>
        <v>0</v>
      </c>
      <c r="N108" s="529"/>
      <c r="O108" s="1312"/>
      <c r="P108" s="1313">
        <f t="shared" si="0"/>
        <v>0</v>
      </c>
      <c r="Q108" s="1314"/>
      <c r="R108" s="815"/>
      <c r="S108" s="816"/>
      <c r="T108" s="1315"/>
      <c r="U108" s="817" t="str">
        <f>IF(OR(A108&lt;&gt;"",B108&lt;&gt;"",C108&lt;&gt;"",D108&lt;&gt;"",E108&lt;&gt;"",F108&lt;&gt;"",G108&lt;&gt;"",I108&lt;&gt;"",L108&lt;&gt;""),'Admin Sheet'!$B$44,"")</f>
        <v/>
      </c>
      <c r="V108" s="806"/>
      <c r="W108" s="439"/>
    </row>
    <row r="109" spans="1:23" ht="26.25" customHeight="1" x14ac:dyDescent="0.2">
      <c r="A109" s="1306"/>
      <c r="B109" s="1307"/>
      <c r="C109" s="1307"/>
      <c r="D109" s="1307"/>
      <c r="E109" s="1307"/>
      <c r="F109" s="1307"/>
      <c r="G109" s="1307"/>
      <c r="H109" s="1308">
        <f t="shared" si="4"/>
        <v>0</v>
      </c>
      <c r="I109" s="1307"/>
      <c r="J109" s="1308">
        <f t="shared" si="5"/>
        <v>0</v>
      </c>
      <c r="K109" s="1309"/>
      <c r="L109" s="1310"/>
      <c r="M109" s="1311">
        <f t="shared" si="6"/>
        <v>0</v>
      </c>
      <c r="N109" s="529"/>
      <c r="O109" s="1312"/>
      <c r="P109" s="1313">
        <f t="shared" si="0"/>
        <v>0</v>
      </c>
      <c r="Q109" s="1314"/>
      <c r="R109" s="815"/>
      <c r="S109" s="816"/>
      <c r="T109" s="1315"/>
      <c r="U109" s="817" t="str">
        <f>IF(OR(A109&lt;&gt;"",B109&lt;&gt;"",C109&lt;&gt;"",D109&lt;&gt;"",E109&lt;&gt;"",F109&lt;&gt;"",G109&lt;&gt;"",I109&lt;&gt;"",L109&lt;&gt;""),'Admin Sheet'!$B$44,"")</f>
        <v/>
      </c>
      <c r="V109" s="806"/>
      <c r="W109" s="439"/>
    </row>
    <row r="110" spans="1:23" ht="20.25" customHeight="1" x14ac:dyDescent="0.2">
      <c r="A110" s="798"/>
      <c r="B110" s="795"/>
      <c r="C110" s="795"/>
      <c r="D110" s="795"/>
      <c r="E110" s="795"/>
      <c r="F110" s="795"/>
      <c r="G110" s="795"/>
      <c r="H110" s="795"/>
      <c r="I110" s="795"/>
      <c r="J110" s="795"/>
      <c r="K110" s="924"/>
      <c r="L110" s="795"/>
      <c r="M110" s="795"/>
      <c r="N110" s="924"/>
      <c r="O110" s="792"/>
      <c r="P110" s="793">
        <f t="shared" si="0"/>
        <v>0</v>
      </c>
      <c r="Q110" s="794"/>
      <c r="R110" s="98"/>
      <c r="S110" s="796"/>
      <c r="T110" s="806"/>
      <c r="U110" s="806"/>
      <c r="V110" s="806"/>
      <c r="W110" s="439"/>
    </row>
    <row r="111" spans="1:23" ht="46.5" customHeight="1" x14ac:dyDescent="0.2">
      <c r="A111" s="799" t="s">
        <v>94</v>
      </c>
      <c r="B111" s="957">
        <f t="shared" ref="B111:J111" si="7">SUM(B9:B110)</f>
        <v>0</v>
      </c>
      <c r="C111" s="957">
        <f t="shared" si="7"/>
        <v>0</v>
      </c>
      <c r="D111" s="957">
        <f t="shared" si="7"/>
        <v>387266.25641925068</v>
      </c>
      <c r="E111" s="957">
        <f t="shared" si="7"/>
        <v>0</v>
      </c>
      <c r="F111" s="957">
        <f t="shared" si="7"/>
        <v>370992.03</v>
      </c>
      <c r="G111" s="957">
        <f t="shared" si="7"/>
        <v>0</v>
      </c>
      <c r="H111" s="957">
        <f t="shared" si="7"/>
        <v>16274.226419250655</v>
      </c>
      <c r="I111" s="957">
        <f t="shared" si="7"/>
        <v>0</v>
      </c>
      <c r="J111" s="957">
        <f t="shared" si="7"/>
        <v>-16274.226419250655</v>
      </c>
      <c r="K111" s="921"/>
      <c r="L111" s="956">
        <f>SUM(L9:L110)</f>
        <v>0</v>
      </c>
      <c r="M111" s="956">
        <f>H111+L111</f>
        <v>16274.226419250655</v>
      </c>
      <c r="N111" s="922"/>
      <c r="O111" s="792"/>
      <c r="P111" s="793">
        <f t="shared" si="0"/>
        <v>16274.226419250655</v>
      </c>
      <c r="Q111" s="794"/>
      <c r="R111" s="98"/>
      <c r="S111" s="796"/>
      <c r="T111" s="806"/>
      <c r="U111" s="806"/>
      <c r="V111" s="806"/>
      <c r="W111" s="439"/>
    </row>
    <row r="112" spans="1:23" ht="3" customHeight="1" thickBot="1" x14ac:dyDescent="0.25">
      <c r="A112" s="800"/>
      <c r="B112" s="426"/>
      <c r="C112" s="426"/>
      <c r="D112" s="426"/>
      <c r="E112" s="426"/>
      <c r="F112" s="426"/>
      <c r="G112" s="426"/>
      <c r="H112" s="426"/>
      <c r="I112" s="426"/>
      <c r="J112" s="426"/>
      <c r="K112" s="426"/>
      <c r="L112" s="426"/>
      <c r="M112" s="426"/>
      <c r="N112" s="426"/>
      <c r="O112" s="801"/>
      <c r="P112" s="802"/>
      <c r="Q112" s="803"/>
      <c r="R112" s="441"/>
      <c r="S112" s="441"/>
      <c r="T112" s="441"/>
      <c r="U112" s="441"/>
      <c r="V112" s="441"/>
      <c r="W112" s="804"/>
    </row>
    <row r="113" spans="1:17" ht="18.75" customHeight="1" x14ac:dyDescent="0.2">
      <c r="A113" s="117"/>
      <c r="B113" s="117"/>
      <c r="C113" s="233"/>
      <c r="D113" s="233"/>
      <c r="E113" s="233"/>
      <c r="F113" s="233"/>
      <c r="G113" s="233"/>
      <c r="H113" s="233"/>
      <c r="I113" s="233"/>
      <c r="J113" s="233"/>
      <c r="K113" s="117"/>
      <c r="L113" s="117"/>
      <c r="M113" s="117"/>
      <c r="N113" s="117"/>
      <c r="O113" s="117"/>
      <c r="P113" s="117"/>
      <c r="Q113" s="117"/>
    </row>
    <row r="114" spans="1:17" ht="46.5" customHeight="1" x14ac:dyDescent="0.2">
      <c r="A114" s="234" t="s">
        <v>82</v>
      </c>
      <c r="B114" s="234"/>
      <c r="C114" s="233"/>
      <c r="D114" s="233"/>
      <c r="E114" s="233"/>
      <c r="F114" s="233"/>
      <c r="G114" s="233"/>
      <c r="H114" s="233"/>
      <c r="I114" s="233"/>
      <c r="J114" s="233"/>
      <c r="K114" s="117"/>
      <c r="L114" s="117"/>
      <c r="M114" s="117"/>
      <c r="N114" s="117"/>
      <c r="O114" s="117"/>
      <c r="P114" s="117"/>
      <c r="Q114" s="117"/>
    </row>
    <row r="115" spans="1:17" ht="15" x14ac:dyDescent="0.2">
      <c r="A115" s="117"/>
      <c r="B115" s="117"/>
      <c r="C115" s="233"/>
      <c r="D115" s="233"/>
      <c r="E115" s="233"/>
      <c r="F115" s="233"/>
      <c r="G115" s="233"/>
      <c r="H115" s="233"/>
      <c r="I115" s="233"/>
      <c r="J115" s="233"/>
      <c r="K115" s="117"/>
      <c r="L115" s="117"/>
      <c r="M115" s="117"/>
      <c r="N115" s="117"/>
      <c r="O115" s="117"/>
      <c r="P115" s="117"/>
      <c r="Q115" s="117"/>
    </row>
  </sheetData>
  <sheetProtection algorithmName="SHA-512" hashValue="acmVor7v1Sy1fnVEOTKmqBcNicsCgLLvNLJF+J6WxKHnjDCQu77EYi1AuyoVkeC/FomWOaFSTWJmKuuR4S+TDA==" saltValue="ob+iIaQ3IpmCD55zx75Ajg==" spinCount="100000" sheet="1" objects="1" scenarios="1" formatCells="0" sort="0" autoFilter="0"/>
  <autoFilter ref="A8:U109"/>
  <mergeCells count="7">
    <mergeCell ref="A5:Q5"/>
    <mergeCell ref="A7:K7"/>
    <mergeCell ref="L7:N7"/>
    <mergeCell ref="O7:Q7"/>
    <mergeCell ref="A2:B3"/>
    <mergeCell ref="C2:D2"/>
    <mergeCell ref="C3:D3"/>
  </mergeCells>
  <dataValidations count="9">
    <dataValidation type="decimal" allowBlank="1" showInputMessage="1" showErrorMessage="1" errorTitle="X-Author for Excel" error="Please enter a valid numeric value. Valid range for Cumulative SR exp. for prior periods is -9999999999.99 to 9999999999.99." promptTitle="X-Author for Excel" sqref="B9:B109">
      <formula1>-9999999999.99</formula1>
      <formula2>9999999999.99</formula2>
    </dataValidation>
    <dataValidation type="decimal" allowBlank="1" showInputMessage="1" showErrorMessage="1" errorTitle="X-Author for Excel" error="Please enter a valid numeric value. Valid range for SR Open Advances at PR Level is -9999999999.99 to 9999999999.99." promptTitle="X-Author for Excel" sqref="C9:C109">
      <formula1>-9999999999.99</formula1>
      <formula2>9999999999.99</formula2>
    </dataValidation>
    <dataValidation type="decimal" allowBlank="1" showInputMessage="1" showErrorMessage="1" errorTitle="X-Author for Excel" error="Please enter a valid numeric value. Valid range for PR Disbursements for Rep. Period is -9999999999.99 to 9999999999.99." promptTitle="X-Author for Excel" sqref="D9:D109">
      <formula1>-9999999999.99</formula1>
      <formula2>9999999999.99</formula2>
    </dataValidation>
    <dataValidation type="decimal" allowBlank="1" showInputMessage="1" showErrorMessage="1" errorTitle="X-Author for Excel" error="Please enter a valid numeric value. Valid range for Other Income during Rep. Period is -9999999999.99 to 9999999999.99." promptTitle="X-Author for Excel" sqref="E9:E109">
      <formula1>-9999999999.99</formula1>
      <formula2>9999999999.99</formula2>
    </dataValidation>
    <dataValidation type="decimal" allowBlank="1" showInputMessage="1" showErrorMessage="1" errorTitle="X-Author for Excel" error="Please enter a valid numeric value. Valid range for PR validated exp. during Rep. Period is -9999999999.99 to 9999999999.99." promptTitle="X-Author for Excel" sqref="F9:F109">
      <formula1>-9999999999.99</formula1>
      <formula2>9999999999.99</formula2>
    </dataValidation>
    <dataValidation type="decimal" allowBlank="1" showInputMessage="1" showErrorMessage="1" errorTitle="X-Author for Excel" error="Please enter a valid numeric value. Valid range for Refunds received from SR is -9999999999.99 to 9999999999.99." promptTitle="X-Author for Excel" sqref="G9:G109">
      <formula1>-9999999999.99</formula1>
      <formula2>9999999999.99</formula2>
    </dataValidation>
    <dataValidation type="decimal" allowBlank="1" showInputMessage="1" showErrorMessage="1" errorTitle="X-Author for Excel" error="Please enter a valid numeric value. Valid range for Actual SR Cash Balance is -9999999999.99 to 9999999999.99." promptTitle="X-Author for Excel" sqref="I9:I109">
      <formula1>-9999999999.99</formula1>
      <formula2>9999999999.99</formula2>
    </dataValidation>
    <dataValidation type="decimal" allowBlank="1" showInputMessage="1" showErrorMessage="1" errorTitle="X-Author for Excel" error="Please enter a valid numeric value. Valid range for LFA Adjustments is -9999999999.99 to 9999999999.99." promptTitle="X-Author for Excel" sqref="L9:L109">
      <formula1>-9999999999.99</formula1>
      <formula2>9999999999.99</formula2>
    </dataValidation>
    <dataValidation type="custom" allowBlank="1" showInputMessage="1" showErrorMessage="1" errorTitle="X-Author for Excel" error="Id and Lookup fields are not editable." promptTitle="X-Author for Excel" sqref="T9:U109">
      <formula1>""</formula1>
    </dataValidation>
  </dataValidations>
  <printOptions horizontalCentered="1" verticalCentered="1"/>
  <pageMargins left="0.11811023622047245" right="0.11811023622047245" top="0.35433070866141736" bottom="0.15748031496062992" header="0.31496062992125984" footer="0.31496062992125984"/>
  <pageSetup paperSize="8" scale="57"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3" id="{B163D229-3A40-4995-AB8F-75AE0FACBF05}">
            <xm:f>CoverSheet!$D$11="EUR"</xm:f>
            <x14:dxf>
              <numFmt numFmtId="188" formatCode="[$€-2]\ #,##0;[Red]\-[$€-2]\ #,##0"/>
            </x14:dxf>
          </x14:cfRule>
          <xm:sqref>B9:G109 L111:M111 B111:J111 I9:J109 L9:M109 O9:P112</xm:sqref>
        </x14:conditionalFormatting>
        <x14:conditionalFormatting xmlns:xm="http://schemas.microsoft.com/office/excel/2006/main">
          <x14:cfRule type="expression" priority="2" id="{16EABDDC-DED9-4293-A9AC-2B9795442C1C}">
            <xm:f>CoverSheet!$D$11="EUR"</xm:f>
            <x14:dxf>
              <numFmt numFmtId="188" formatCode="[$€-2]\ #,##0;[Red]\-[$€-2]\ #,##0"/>
            </x14:dxf>
          </x14:cfRule>
          <xm:sqref>H9:H109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O31"/>
  <sheetViews>
    <sheetView showGridLines="0" view="pageBreakPreview" zoomScale="50" zoomScaleNormal="50" zoomScaleSheetLayoutView="50" workbookViewId="0">
      <selection activeCell="P27" sqref="P27"/>
    </sheetView>
  </sheetViews>
  <sheetFormatPr defaultColWidth="9.140625" defaultRowHeight="12.75" x14ac:dyDescent="0.2"/>
  <cols>
    <col min="1" max="1" width="2.85546875" style="94" customWidth="1"/>
    <col min="2" max="2" width="57.85546875" style="94" bestFit="1" customWidth="1"/>
    <col min="3" max="3" width="7.140625" style="94" customWidth="1"/>
    <col min="4" max="4" width="32.140625" style="94" customWidth="1"/>
    <col min="5" max="5" width="31" style="94" customWidth="1"/>
    <col min="6" max="6" width="24.42578125" style="94" customWidth="1"/>
    <col min="7" max="7" width="25.140625" style="94" customWidth="1"/>
    <col min="8" max="8" width="36.140625" style="94" bestFit="1" customWidth="1"/>
    <col min="9" max="9" width="23.140625" style="94" customWidth="1"/>
    <col min="10" max="10" width="29.42578125" style="94" customWidth="1"/>
    <col min="11" max="11" width="27.42578125" style="94" customWidth="1"/>
    <col min="12" max="12" width="25.42578125" style="94" customWidth="1"/>
    <col min="13" max="13" width="27" style="94" customWidth="1"/>
    <col min="14" max="14" width="65.42578125" style="94" customWidth="1"/>
    <col min="15" max="16384" width="9.140625" style="94"/>
  </cols>
  <sheetData>
    <row r="1" spans="1:15" s="134" customFormat="1" ht="51.75" customHeight="1" thickBot="1" x14ac:dyDescent="0.65">
      <c r="A1" s="129" t="str">
        <f>IF(CoverSheet!J12="N/A","Progress Report","Progress Report with Disbursement Request")</f>
        <v>Progress Report with Disbursement Request</v>
      </c>
      <c r="B1" s="244"/>
      <c r="C1" s="129"/>
      <c r="D1" s="129"/>
      <c r="E1" s="129"/>
      <c r="F1" s="129"/>
      <c r="G1" s="129"/>
      <c r="H1" s="144"/>
      <c r="I1" s="144"/>
      <c r="J1" s="118"/>
      <c r="K1" s="118"/>
      <c r="L1" s="118"/>
    </row>
    <row r="2" spans="1:15" s="179" customFormat="1" ht="40.5" customHeight="1" x14ac:dyDescent="0.2">
      <c r="A2" s="1494" t="s">
        <v>162</v>
      </c>
      <c r="B2" s="1495"/>
      <c r="C2" s="1495"/>
      <c r="D2" s="1496"/>
      <c r="E2" s="1492" t="str">
        <f>CoverSheet!F9</f>
        <v>Period of Financial Reporting</v>
      </c>
      <c r="F2" s="1492"/>
      <c r="G2" s="831" t="str">
        <f>CoverSheet!I9</f>
        <v>Beginning Date:</v>
      </c>
      <c r="H2" s="832">
        <f>IF(CoverSheet!J9="","N/A",CoverSheet!J9)</f>
        <v>42736</v>
      </c>
      <c r="I2" s="831" t="str">
        <f>CoverSheet!K9</f>
        <v>End Date:</v>
      </c>
      <c r="J2" s="833">
        <f>IF(CoverSheet!L9="","N/A",CoverSheet!L9)</f>
        <v>43100</v>
      </c>
      <c r="K2" s="878"/>
      <c r="L2" s="878"/>
      <c r="M2" s="878"/>
      <c r="N2" s="879"/>
    </row>
    <row r="3" spans="1:15" s="120" customFormat="1" ht="40.5" customHeight="1" thickBot="1" x14ac:dyDescent="0.25">
      <c r="A3" s="1497"/>
      <c r="B3" s="1498"/>
      <c r="C3" s="1498"/>
      <c r="D3" s="1499"/>
      <c r="E3" s="1493" t="s">
        <v>538</v>
      </c>
      <c r="F3" s="1493"/>
      <c r="G3" s="834" t="str">
        <f>CoverSheet!I9</f>
        <v>Beginning Date:</v>
      </c>
      <c r="H3" s="835">
        <f>IF(_00de7129_653b_4d69_830e_62f54dcfdb6c="","N/A",_00de7129_653b_4d69_830e_62f54dcfdb6c)</f>
        <v>42736</v>
      </c>
      <c r="I3" s="834" t="str">
        <f>CoverSheet!K9</f>
        <v>End Date:</v>
      </c>
      <c r="J3" s="836">
        <f>IF(CoverSheet!L9="","N/A",CoverSheet!L9)</f>
        <v>43100</v>
      </c>
      <c r="K3" s="880"/>
      <c r="L3" s="880"/>
      <c r="M3" s="880"/>
      <c r="N3" s="881"/>
    </row>
    <row r="4" spans="1:15" s="178" customFormat="1" ht="33" customHeight="1" thickBot="1" x14ac:dyDescent="0.25">
      <c r="A4" s="1504" t="s">
        <v>417</v>
      </c>
      <c r="B4" s="1505"/>
      <c r="C4" s="1505"/>
      <c r="D4" s="1505"/>
      <c r="E4" s="1505"/>
      <c r="F4" s="1505"/>
      <c r="G4" s="1505"/>
      <c r="H4" s="1505"/>
      <c r="I4" s="1505"/>
      <c r="J4" s="1505"/>
      <c r="K4" s="1505"/>
      <c r="L4" s="1505"/>
      <c r="M4" s="1505"/>
      <c r="N4" s="1505"/>
      <c r="O4" s="236"/>
    </row>
    <row r="5" spans="1:15" s="19" customFormat="1" ht="0.75" customHeight="1" thickBot="1" x14ac:dyDescent="0.25">
      <c r="B5" s="135"/>
      <c r="C5" s="135"/>
      <c r="D5" s="135"/>
      <c r="E5" s="135"/>
      <c r="F5" s="135"/>
      <c r="G5" s="135"/>
      <c r="H5" s="135"/>
      <c r="I5" s="135"/>
      <c r="J5" s="135"/>
      <c r="K5" s="135"/>
      <c r="L5" s="235"/>
    </row>
    <row r="6" spans="1:15" s="117" customFormat="1" ht="30" customHeight="1" thickBot="1" x14ac:dyDescent="0.25">
      <c r="B6" s="164"/>
      <c r="C6" s="165"/>
      <c r="D6" s="1506" t="s">
        <v>70</v>
      </c>
      <c r="E6" s="1507"/>
      <c r="F6" s="1507"/>
      <c r="G6" s="1507"/>
      <c r="H6" s="1507"/>
      <c r="I6" s="1507"/>
      <c r="J6" s="1507"/>
      <c r="K6" s="1507"/>
      <c r="L6" s="1507"/>
      <c r="M6" s="1507"/>
      <c r="N6" s="1508"/>
      <c r="O6" s="237"/>
    </row>
    <row r="7" spans="1:15" s="117" customFormat="1" ht="93" customHeight="1" thickBot="1" x14ac:dyDescent="0.25">
      <c r="B7" s="1509"/>
      <c r="C7" s="1510"/>
      <c r="D7" s="320" t="s">
        <v>40</v>
      </c>
      <c r="E7" s="318" t="s">
        <v>140</v>
      </c>
      <c r="F7" s="318" t="s">
        <v>83</v>
      </c>
      <c r="G7" s="318" t="s">
        <v>84</v>
      </c>
      <c r="H7" s="1511" t="s">
        <v>175</v>
      </c>
      <c r="I7" s="1512"/>
      <c r="J7" s="318" t="s">
        <v>17</v>
      </c>
      <c r="K7" s="318" t="s">
        <v>141</v>
      </c>
      <c r="L7" s="318" t="s">
        <v>138</v>
      </c>
      <c r="M7" s="318" t="s">
        <v>84</v>
      </c>
      <c r="N7" s="318" t="s">
        <v>175</v>
      </c>
    </row>
    <row r="8" spans="1:15" s="117" customFormat="1" ht="46.5" customHeight="1" x14ac:dyDescent="0.2">
      <c r="B8" s="1500" t="s">
        <v>146</v>
      </c>
      <c r="C8" s="1501"/>
      <c r="D8" s="721">
        <f>SUM(D9:D10)</f>
        <v>5689012.5147814006</v>
      </c>
      <c r="E8" s="721">
        <f>SUM(E9:E10)</f>
        <v>2772899.8540884708</v>
      </c>
      <c r="F8" s="721">
        <f>IF(D8="",IF(E8="","",D8-E8),D8-E8)</f>
        <v>2916112.6606929298</v>
      </c>
      <c r="G8" s="732">
        <f>E8/D8</f>
        <v>0.48741321044448765</v>
      </c>
      <c r="H8" s="1502"/>
      <c r="I8" s="1503"/>
      <c r="J8" s="721">
        <f>SUM(J9:J10)</f>
        <v>5689012.5147814006</v>
      </c>
      <c r="K8" s="721">
        <f>SUM(K9:K10)</f>
        <v>2772899.8540884708</v>
      </c>
      <c r="L8" s="683">
        <f>IF(J8="",IF(K8="","",J8-K8),J8-K8)</f>
        <v>2916112.6606929298</v>
      </c>
      <c r="M8" s="732">
        <f>K8/J8</f>
        <v>0.48741321044448765</v>
      </c>
      <c r="N8" s="158"/>
    </row>
    <row r="9" spans="1:15" s="117" customFormat="1" ht="65.25" customHeight="1" x14ac:dyDescent="0.2">
      <c r="B9" s="1513" t="s">
        <v>202</v>
      </c>
      <c r="C9" s="1514"/>
      <c r="D9" s="889">
        <v>4214000.3436930003</v>
      </c>
      <c r="E9" s="683">
        <f>'PR Cash Reconciliation_2A,B,C,D'!D18+'PR Cash Reconciliation_2A,B,C,D'!D19+'PR Cash Reconciliation_2A,B,C,D'!D21</f>
        <v>2385633.5976692201</v>
      </c>
      <c r="F9" s="683">
        <f>IF(D9="",IF(E9="",0,D9-E9),D9-E9)</f>
        <v>1828366.7460237802</v>
      </c>
      <c r="G9" s="732">
        <f>E9/D9</f>
        <v>0.56612088350674772</v>
      </c>
      <c r="H9" s="1515" t="s">
        <v>1606</v>
      </c>
      <c r="I9" s="1516"/>
      <c r="J9" s="889">
        <v>4214000.3436930003</v>
      </c>
      <c r="K9" s="683">
        <f>'PR Cash Reconciliation_2A,B,C,D'!D18+'PR Cash Reconciliation_2A,B,C,D'!D19+'PR Cash Reconciliation_2A,B,C,D'!D21+'PR Cash Reconciliation_2A,B,C,D'!C18+'PR Cash Reconciliation_2A,B,C,D'!C19+'PR Cash Reconciliation_2A,B,C,D'!C21</f>
        <v>2385633.5976692201</v>
      </c>
      <c r="L9" s="683">
        <f>IF(J9="",IF(K9="",0,J9-K9),J9-K9)</f>
        <v>1828366.7460237802</v>
      </c>
      <c r="M9" s="732">
        <f>K9/J9</f>
        <v>0.56612088350674772</v>
      </c>
      <c r="N9" s="159"/>
    </row>
    <row r="10" spans="1:15" s="117" customFormat="1" ht="65.25" customHeight="1" x14ac:dyDescent="0.2">
      <c r="B10" s="1517" t="s">
        <v>43</v>
      </c>
      <c r="C10" s="1518"/>
      <c r="D10" s="889">
        <v>1475012.1710884001</v>
      </c>
      <c r="E10" s="683">
        <f>'PR Cash Reconciliation_2A,B,C,D'!D20</f>
        <v>387266.25641925068</v>
      </c>
      <c r="F10" s="683">
        <f>IF(D10="",IF(E10="",0,D10-E10),D10-E10)</f>
        <v>1087745.9146691493</v>
      </c>
      <c r="G10" s="732">
        <f>E10/D10</f>
        <v>0.262551227718677</v>
      </c>
      <c r="H10" s="1515" t="s">
        <v>1607</v>
      </c>
      <c r="I10" s="1516"/>
      <c r="J10" s="889">
        <v>1475012.1710884001</v>
      </c>
      <c r="K10" s="683">
        <f>'PR Cash Reconciliation_2A,B,C,D'!D20+'PR Cash Reconciliation_2A,B,C,D'!C20</f>
        <v>387266.25641925068</v>
      </c>
      <c r="L10" s="683">
        <f>IF(J10="",IF(K10="",0,J10-K10),J10-K10)</f>
        <v>1087745.9146691493</v>
      </c>
      <c r="M10" s="732">
        <f>K10/J10</f>
        <v>0.262551227718677</v>
      </c>
      <c r="N10" s="159"/>
    </row>
    <row r="11" spans="1:15" s="117" customFormat="1" ht="15.75" thickBot="1" x14ac:dyDescent="0.25">
      <c r="B11" s="160"/>
      <c r="C11" s="160"/>
      <c r="D11" s="161"/>
      <c r="E11" s="161"/>
      <c r="F11" s="162"/>
      <c r="I11" s="163"/>
      <c r="J11" s="163"/>
      <c r="K11" s="161"/>
      <c r="L11" s="161"/>
      <c r="N11" s="162"/>
    </row>
    <row r="12" spans="1:15" s="117" customFormat="1" ht="90" customHeight="1" thickBot="1" x14ac:dyDescent="0.25">
      <c r="B12" s="1509" t="s">
        <v>129</v>
      </c>
      <c r="C12" s="1510"/>
      <c r="D12" s="320" t="s">
        <v>40</v>
      </c>
      <c r="E12" s="318" t="s">
        <v>140</v>
      </c>
      <c r="F12" s="318" t="s">
        <v>83</v>
      </c>
      <c r="G12" s="318" t="s">
        <v>84</v>
      </c>
      <c r="H12" s="1511" t="s">
        <v>175</v>
      </c>
      <c r="I12" s="1512"/>
      <c r="J12" s="318" t="s">
        <v>17</v>
      </c>
      <c r="K12" s="318" t="s">
        <v>141</v>
      </c>
      <c r="L12" s="318" t="s">
        <v>138</v>
      </c>
      <c r="M12" s="320" t="s">
        <v>84</v>
      </c>
      <c r="N12" s="318" t="s">
        <v>175</v>
      </c>
    </row>
    <row r="13" spans="1:15" s="117" customFormat="1" ht="54" customHeight="1" x14ac:dyDescent="0.2">
      <c r="B13" s="1500" t="s">
        <v>203</v>
      </c>
      <c r="C13" s="1501"/>
      <c r="D13" s="721">
        <f>D14+D15</f>
        <v>3179059.6999000004</v>
      </c>
      <c r="E13" s="721">
        <f>E14+E15</f>
        <v>1785632.1115863256</v>
      </c>
      <c r="F13" s="721">
        <f>IF(D13="",IF(E13="","",D13-E13),D13-E13)</f>
        <v>1393427.5883136748</v>
      </c>
      <c r="G13" s="732">
        <f>E13/D13</f>
        <v>0.5616856178078361</v>
      </c>
      <c r="H13" s="1519"/>
      <c r="I13" s="1520"/>
      <c r="J13" s="733">
        <f>J14+J15</f>
        <v>3179059.6999000004</v>
      </c>
      <c r="K13" s="721">
        <f>K14+K15</f>
        <v>1785632.1115863256</v>
      </c>
      <c r="L13" s="721">
        <f>IF(J13="",IF(K13="","",J13-K13),J13-K13)</f>
        <v>1393427.5883136748</v>
      </c>
      <c r="M13" s="732">
        <f>K13/J13</f>
        <v>0.5616856178078361</v>
      </c>
      <c r="N13" s="166"/>
    </row>
    <row r="14" spans="1:15" s="117" customFormat="1" ht="54" customHeight="1" x14ac:dyDescent="0.2">
      <c r="B14" s="1521" t="s">
        <v>124</v>
      </c>
      <c r="C14" s="1522"/>
      <c r="D14" s="889">
        <v>766075.35869999998</v>
      </c>
      <c r="E14" s="681">
        <v>801214.67</v>
      </c>
      <c r="F14" s="683">
        <f>IF(D14="",IF(E14="",0,D14-E14),D14-E14)</f>
        <v>-35139.311300000059</v>
      </c>
      <c r="G14" s="732">
        <f>E14/D14</f>
        <v>1.0458692619478456</v>
      </c>
      <c r="H14" s="1515" t="s">
        <v>1608</v>
      </c>
      <c r="I14" s="1516"/>
      <c r="J14" s="889">
        <v>766075.35869999998</v>
      </c>
      <c r="K14" s="681">
        <v>801214.67</v>
      </c>
      <c r="L14" s="683">
        <f>IF(J14="",IF(K14="",0,J14-K14),J14-K14)</f>
        <v>-35139.311300000059</v>
      </c>
      <c r="M14" s="732">
        <f>K14/J14</f>
        <v>1.0458692619478456</v>
      </c>
      <c r="N14" s="155"/>
    </row>
    <row r="15" spans="1:15" s="117" customFormat="1" ht="51" customHeight="1" x14ac:dyDescent="0.2">
      <c r="B15" s="1513" t="s">
        <v>125</v>
      </c>
      <c r="C15" s="1514"/>
      <c r="D15" s="889">
        <v>2412984.3412000001</v>
      </c>
      <c r="E15" s="681">
        <v>984417.44158632553</v>
      </c>
      <c r="F15" s="683">
        <f>IF(D15="",IF(E15="",0,D15-E15),D15-E15)</f>
        <v>1428566.8996136747</v>
      </c>
      <c r="G15" s="734">
        <f>E15/D15</f>
        <v>0.40796677573828155</v>
      </c>
      <c r="H15" s="1523" t="s">
        <v>1609</v>
      </c>
      <c r="I15" s="1524"/>
      <c r="J15" s="889">
        <v>2412984.3412000001</v>
      </c>
      <c r="K15" s="681">
        <v>984417.44158632553</v>
      </c>
      <c r="L15" s="683">
        <f>IF(J15="",IF(K15="",0,J15-K15),J15-K15)</f>
        <v>1428566.8996136747</v>
      </c>
      <c r="M15" s="732">
        <f>K15/J15</f>
        <v>0.40796677573828155</v>
      </c>
      <c r="N15" s="243"/>
    </row>
    <row r="16" spans="1:15" s="19" customFormat="1" x14ac:dyDescent="0.2">
      <c r="C16" s="46"/>
      <c r="E16" s="242"/>
      <c r="F16" s="242"/>
      <c r="G16" s="242"/>
      <c r="H16" s="242"/>
      <c r="I16" s="242"/>
      <c r="L16" s="242"/>
      <c r="N16" s="242"/>
    </row>
    <row r="17" spans="1:14" s="19" customFormat="1" x14ac:dyDescent="0.2"/>
    <row r="18" spans="1:14" s="19" customFormat="1" ht="60.75" customHeight="1" thickBot="1" x14ac:dyDescent="0.25">
      <c r="A18" s="126" t="s">
        <v>102</v>
      </c>
      <c r="B18" s="125"/>
      <c r="C18" s="25"/>
      <c r="D18" s="25"/>
      <c r="E18" s="25"/>
      <c r="F18" s="25"/>
      <c r="G18" s="25"/>
      <c r="H18" s="25"/>
      <c r="I18" s="25"/>
      <c r="J18" s="124"/>
      <c r="K18" s="123"/>
      <c r="L18" s="123"/>
    </row>
    <row r="19" spans="1:14" s="178" customFormat="1" ht="33" customHeight="1" thickBot="1" x14ac:dyDescent="0.25">
      <c r="A19" s="1525" t="s">
        <v>418</v>
      </c>
      <c r="B19" s="1525"/>
      <c r="C19" s="1525"/>
      <c r="D19" s="1525"/>
      <c r="E19" s="1525"/>
      <c r="F19" s="1525"/>
      <c r="G19" s="1525"/>
      <c r="H19" s="1525"/>
      <c r="I19" s="1525"/>
      <c r="J19" s="1525"/>
      <c r="K19" s="1525"/>
      <c r="L19" s="1525"/>
      <c r="M19" s="240"/>
      <c r="N19" s="240"/>
    </row>
    <row r="20" spans="1:14" s="19" customFormat="1" ht="21" hidden="1" thickBot="1" x14ac:dyDescent="0.25">
      <c r="B20" s="135"/>
      <c r="C20" s="136"/>
      <c r="D20" s="135"/>
      <c r="E20" s="238"/>
      <c r="F20" s="135"/>
      <c r="G20" s="238"/>
      <c r="H20" s="135"/>
      <c r="I20" s="135"/>
      <c r="J20" s="238"/>
      <c r="K20" s="238"/>
      <c r="L20" s="239"/>
    </row>
    <row r="21" spans="1:14" s="19" customFormat="1" ht="28.5" customHeight="1" thickBot="1" x14ac:dyDescent="0.25">
      <c r="A21" s="147"/>
      <c r="B21" s="156"/>
      <c r="C21" s="157"/>
      <c r="D21" s="1526" t="s">
        <v>132</v>
      </c>
      <c r="E21" s="1527"/>
      <c r="F21" s="1527"/>
      <c r="G21" s="1527"/>
      <c r="H21" s="1527"/>
      <c r="I21" s="1527"/>
      <c r="J21" s="1527"/>
      <c r="K21" s="1527"/>
      <c r="L21" s="1527"/>
      <c r="M21" s="1527"/>
      <c r="N21" s="1527"/>
    </row>
    <row r="22" spans="1:14" s="19" customFormat="1" ht="80.099999999999994" customHeight="1" thickBot="1" x14ac:dyDescent="0.25">
      <c r="B22" s="1509"/>
      <c r="C22" s="1510"/>
      <c r="D22" s="326" t="s">
        <v>40</v>
      </c>
      <c r="E22" s="323" t="s">
        <v>130</v>
      </c>
      <c r="F22" s="322" t="s">
        <v>83</v>
      </c>
      <c r="G22" s="319" t="s">
        <v>84</v>
      </c>
      <c r="H22" s="1480" t="s">
        <v>205</v>
      </c>
      <c r="I22" s="1482"/>
      <c r="J22" s="322" t="s">
        <v>17</v>
      </c>
      <c r="K22" s="669" t="s">
        <v>131</v>
      </c>
      <c r="L22" s="322" t="s">
        <v>138</v>
      </c>
      <c r="M22" s="672" t="s">
        <v>84</v>
      </c>
      <c r="N22" s="319" t="s">
        <v>204</v>
      </c>
    </row>
    <row r="23" spans="1:14" s="19" customFormat="1" ht="46.5" customHeight="1" x14ac:dyDescent="0.2">
      <c r="B23" s="1528" t="s">
        <v>146</v>
      </c>
      <c r="C23" s="1529"/>
      <c r="D23" s="735">
        <f>SUM(D24:D25)</f>
        <v>5689012.5147814006</v>
      </c>
      <c r="E23" s="735">
        <f>SUM(E24:E25)</f>
        <v>2772899.8540884708</v>
      </c>
      <c r="F23" s="735">
        <f>IF(D23="",IF(E23="","",D23-E23),D23-E23)</f>
        <v>2916112.6606929298</v>
      </c>
      <c r="G23" s="736">
        <f>E23/D23</f>
        <v>0.48741321044448765</v>
      </c>
      <c r="H23" s="1530"/>
      <c r="I23" s="1531"/>
      <c r="J23" s="735">
        <f>SUM(J24:J25)</f>
        <v>5689012.5147814006</v>
      </c>
      <c r="K23" s="735">
        <f>SUM(K24:K25)</f>
        <v>2772899.8540884708</v>
      </c>
      <c r="L23" s="735">
        <f>IF(J23="",IF(K23="","",J23-K23),J23-K23)</f>
        <v>2916112.6606929298</v>
      </c>
      <c r="M23" s="737">
        <f>K23/J23</f>
        <v>0.48741321044448765</v>
      </c>
      <c r="N23" s="321"/>
    </row>
    <row r="24" spans="1:14" s="19" customFormat="1" ht="65.25" customHeight="1" x14ac:dyDescent="0.2">
      <c r="B24" s="1513" t="s">
        <v>202</v>
      </c>
      <c r="C24" s="1514"/>
      <c r="D24" s="889">
        <v>4214000.3436930003</v>
      </c>
      <c r="E24" s="738">
        <f>'PR Cash Reconciliation_2A,B,C,D'!H18+'PR Cash Reconciliation_2A,B,C,D'!H19+'PR Cash Reconciliation_2A,B,C,D'!H21</f>
        <v>2385633.5976692201</v>
      </c>
      <c r="F24" s="683">
        <f>IF(D24="",IF(E24="",0,D24-E24),D24-E24)</f>
        <v>1828366.7460237802</v>
      </c>
      <c r="G24" s="739">
        <f>E24/D24</f>
        <v>0.56612088350674772</v>
      </c>
      <c r="H24" s="1515"/>
      <c r="I24" s="1532"/>
      <c r="J24" s="889">
        <v>4214000.3436930003</v>
      </c>
      <c r="K24" s="683">
        <f>'PR Cash Reconciliation_2A,B,C,D'!F18+'PR Cash Reconciliation_2A,B,C,D'!F19+'PR Cash Reconciliation_2A,B,C,D'!F21+E24</f>
        <v>2385633.5976692201</v>
      </c>
      <c r="L24" s="683">
        <f>IF(J24="",IF(K24="",0,J24-K24),J24-K24)</f>
        <v>1828366.7460237802</v>
      </c>
      <c r="M24" s="732">
        <f>K24/J24</f>
        <v>0.56612088350674772</v>
      </c>
      <c r="N24" s="159"/>
    </row>
    <row r="25" spans="1:14" s="19" customFormat="1" ht="65.25" customHeight="1" x14ac:dyDescent="0.2">
      <c r="B25" s="1517" t="s">
        <v>43</v>
      </c>
      <c r="C25" s="1518"/>
      <c r="D25" s="889">
        <v>1475012.1710884001</v>
      </c>
      <c r="E25" s="738">
        <f>'PR Cash Reconciliation_2A,B,C,D'!H20</f>
        <v>387266.25641925068</v>
      </c>
      <c r="F25" s="683">
        <f>IF(D25="",IF(E25="",0,D25-E25),D25-E25)</f>
        <v>1087745.9146691493</v>
      </c>
      <c r="G25" s="739">
        <f>E25/D25</f>
        <v>0.262551227718677</v>
      </c>
      <c r="H25" s="1515"/>
      <c r="I25" s="1532"/>
      <c r="J25" s="889">
        <v>1475012.1710884001</v>
      </c>
      <c r="K25" s="683">
        <f>'PR Cash Reconciliation_2A,B,C,D'!F20+E25</f>
        <v>387266.25641925068</v>
      </c>
      <c r="L25" s="683">
        <f>IF(J25="",IF(K25="",0,J25-K25),J25-K25)</f>
        <v>1087745.9146691493</v>
      </c>
      <c r="M25" s="732">
        <f>K25/J25</f>
        <v>0.262551227718677</v>
      </c>
      <c r="N25" s="159"/>
    </row>
    <row r="26" spans="1:14" s="19" customFormat="1" ht="15.75" thickBot="1" x14ac:dyDescent="0.25">
      <c r="B26" s="160"/>
      <c r="C26" s="160"/>
      <c r="D26" s="161"/>
      <c r="E26" s="161"/>
      <c r="F26" s="162"/>
      <c r="I26" s="163"/>
      <c r="J26" s="163"/>
      <c r="K26" s="161"/>
      <c r="L26" s="161"/>
      <c r="N26" s="162"/>
    </row>
    <row r="27" spans="1:14" s="19" customFormat="1" ht="90.75" customHeight="1" thickBot="1" x14ac:dyDescent="0.25">
      <c r="B27" s="1509" t="s">
        <v>129</v>
      </c>
      <c r="C27" s="1510"/>
      <c r="D27" s="671" t="s">
        <v>40</v>
      </c>
      <c r="E27" s="671" t="s">
        <v>130</v>
      </c>
      <c r="F27" s="671" t="s">
        <v>83</v>
      </c>
      <c r="G27" s="319" t="s">
        <v>84</v>
      </c>
      <c r="H27" s="1526" t="s">
        <v>204</v>
      </c>
      <c r="I27" s="1533"/>
      <c r="J27" s="671" t="s">
        <v>17</v>
      </c>
      <c r="K27" s="671" t="s">
        <v>131</v>
      </c>
      <c r="L27" s="319" t="s">
        <v>138</v>
      </c>
      <c r="M27" s="672" t="s">
        <v>84</v>
      </c>
      <c r="N27" s="319" t="s">
        <v>204</v>
      </c>
    </row>
    <row r="28" spans="1:14" s="19" customFormat="1" ht="54" customHeight="1" x14ac:dyDescent="0.2">
      <c r="B28" s="1500" t="s">
        <v>135</v>
      </c>
      <c r="C28" s="1501"/>
      <c r="D28" s="740">
        <f>D29+D30</f>
        <v>3179059.6999000004</v>
      </c>
      <c r="E28" s="740">
        <f>E29+E30</f>
        <v>0</v>
      </c>
      <c r="F28" s="740">
        <f>IF(D28="",IF(E28="","",D28-E28),D28-E28)</f>
        <v>3179059.6999000004</v>
      </c>
      <c r="G28" s="737">
        <f>E28/D28</f>
        <v>0</v>
      </c>
      <c r="H28" s="324"/>
      <c r="I28" s="325"/>
      <c r="J28" s="740">
        <f>J29+J30</f>
        <v>3179059.6999000004</v>
      </c>
      <c r="K28" s="740">
        <f>K29+K30</f>
        <v>0</v>
      </c>
      <c r="L28" s="740">
        <f>IF(J28="",IF(K28="","",J28-K28),J28-K28)</f>
        <v>3179059.6999000004</v>
      </c>
      <c r="M28" s="737">
        <f>K28/J28</f>
        <v>0</v>
      </c>
      <c r="N28" s="166"/>
    </row>
    <row r="29" spans="1:14" s="19" customFormat="1" ht="54" customHeight="1" x14ac:dyDescent="0.2">
      <c r="B29" s="1521" t="s">
        <v>124</v>
      </c>
      <c r="C29" s="1522"/>
      <c r="D29" s="889">
        <v>766075.35869999998</v>
      </c>
      <c r="E29" s="681"/>
      <c r="F29" s="683">
        <f>IF(D29="",IF(E29="",0,D29-E29),D29-E29)</f>
        <v>766075.35869999998</v>
      </c>
      <c r="G29" s="732">
        <f>E29/D29</f>
        <v>0</v>
      </c>
      <c r="H29" s="1515"/>
      <c r="I29" s="1532"/>
      <c r="J29" s="889">
        <v>766075.35869999998</v>
      </c>
      <c r="K29" s="681"/>
      <c r="L29" s="683">
        <f>IF(J29="",IF(K29="",0,J29-K29),J29-K29)</f>
        <v>766075.35869999998</v>
      </c>
      <c r="M29" s="732">
        <f>K29/J29</f>
        <v>0</v>
      </c>
      <c r="N29" s="155"/>
    </row>
    <row r="30" spans="1:14" s="19" customFormat="1" ht="51" customHeight="1" x14ac:dyDescent="0.2">
      <c r="B30" s="1513" t="s">
        <v>125</v>
      </c>
      <c r="C30" s="1514"/>
      <c r="D30" s="889">
        <v>2412984.3412000001</v>
      </c>
      <c r="E30" s="681"/>
      <c r="F30" s="683">
        <f>IF(D30="",IF(E30="",0,D30-E30),D30-E30)</f>
        <v>2412984.3412000001</v>
      </c>
      <c r="G30" s="732">
        <f>E30/D30</f>
        <v>0</v>
      </c>
      <c r="H30" s="1515"/>
      <c r="I30" s="1532"/>
      <c r="J30" s="889">
        <v>2412984.3412000001</v>
      </c>
      <c r="K30" s="681"/>
      <c r="L30" s="683">
        <f>IF(J30="",IF(K30="",0,J30-K30),J30-K30)</f>
        <v>2412984.3412000001</v>
      </c>
      <c r="M30" s="732">
        <f>K30/J30</f>
        <v>0</v>
      </c>
      <c r="N30" s="155"/>
    </row>
    <row r="31" spans="1:14" s="9" customFormat="1" x14ac:dyDescent="0.2">
      <c r="D31" s="241"/>
      <c r="E31" s="241"/>
      <c r="F31" s="241"/>
      <c r="J31" s="241"/>
      <c r="K31" s="241"/>
      <c r="L31" s="241"/>
    </row>
  </sheetData>
  <sheetProtection algorithmName="SHA-512" hashValue="unGyv7xQ8e+n1bn+T/sw3TvteXB+mPpBbe6cO920t32vwXIEVVBb02RJU8ofrtJVJcSo5Q5xrL6EkWvPoWKeRQ==" saltValue="5XsgaHM1jfFdJxhbHFcFQQ==" spinCount="100000" sheet="1" objects="1" scenarios="1" formatColumns="0" formatRows="0" sort="0" autoFilter="0"/>
  <mergeCells count="38">
    <mergeCell ref="B28:C28"/>
    <mergeCell ref="B29:C29"/>
    <mergeCell ref="H29:I29"/>
    <mergeCell ref="B30:C30"/>
    <mergeCell ref="H30:I30"/>
    <mergeCell ref="B24:C24"/>
    <mergeCell ref="H24:I24"/>
    <mergeCell ref="B25:C25"/>
    <mergeCell ref="H25:I25"/>
    <mergeCell ref="B27:C27"/>
    <mergeCell ref="H27:I27"/>
    <mergeCell ref="A19:L19"/>
    <mergeCell ref="D21:N21"/>
    <mergeCell ref="B22:C22"/>
    <mergeCell ref="H22:I22"/>
    <mergeCell ref="B23:C23"/>
    <mergeCell ref="H23:I23"/>
    <mergeCell ref="B13:C13"/>
    <mergeCell ref="H13:I13"/>
    <mergeCell ref="B14:C14"/>
    <mergeCell ref="H14:I14"/>
    <mergeCell ref="B15:C15"/>
    <mergeCell ref="H15:I15"/>
    <mergeCell ref="B9:C9"/>
    <mergeCell ref="H9:I9"/>
    <mergeCell ref="B10:C10"/>
    <mergeCell ref="H10:I10"/>
    <mergeCell ref="B12:C12"/>
    <mergeCell ref="H12:I12"/>
    <mergeCell ref="E2:F2"/>
    <mergeCell ref="E3:F3"/>
    <mergeCell ref="A2:D3"/>
    <mergeCell ref="B8:C8"/>
    <mergeCell ref="H8:I8"/>
    <mergeCell ref="A4:N4"/>
    <mergeCell ref="D6:N6"/>
    <mergeCell ref="B7:C7"/>
    <mergeCell ref="H7:I7"/>
  </mergeCells>
  <conditionalFormatting sqref="F11 N11 N13:N15 H13">
    <cfRule type="cellIs" dxfId="130" priority="5" stopIfTrue="1" operator="lessThan">
      <formula>0</formula>
    </cfRule>
  </conditionalFormatting>
  <conditionalFormatting sqref="F11 H13 N13:N15 N11 N26">
    <cfRule type="cellIs" dxfId="129" priority="4" stopIfTrue="1" operator="lessThan">
      <formula>0</formula>
    </cfRule>
  </conditionalFormatting>
  <conditionalFormatting sqref="F26 N26 N28:N30 H28">
    <cfRule type="cellIs" dxfId="128" priority="3" stopIfTrue="1" operator="lessThan">
      <formula>0</formula>
    </cfRule>
  </conditionalFormatting>
  <conditionalFormatting sqref="F26 H28 N28:N30">
    <cfRule type="cellIs" dxfId="127" priority="2" stopIfTrue="1" operator="lessThan">
      <formula>0</formula>
    </cfRule>
  </conditionalFormatting>
  <dataValidations count="24">
    <dataValidation type="decimal" allowBlank="1" showInputMessage="1" showErrorMessage="1" errorTitle="X-Author for Excel" error="Please enter a valid numeric value. Valid range for LFA Actual Grant Cash Out-Flow is -9999999999.99 to 9999999999.99." promptTitle="X-Author for Excel" sqref="E29">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K29">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4">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K14">
      <formula1>-9999999999.99</formula1>
      <formula2>9999999999.99</formula2>
    </dataValidation>
    <dataValidation type="decimal" allowBlank="1" showInputMessage="1" showErrorMessage="1" errorTitle="X-Author for Excel" error="Please enter a valid numeric value. Valid range for LFA Actual Grant Cash Out-Flow is -9999999999.99 to 9999999999.99." promptTitle="X-Author for Excel" sqref="E30">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K30">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5">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K15">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D9">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J9">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D24">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J24">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D10">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J10">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D25">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J25">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D14">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J14">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J29">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D29">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J15">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D15">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J30">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D30">
      <formula1>-9999999999.99</formula1>
      <formula2>9999999999.99</formula2>
    </dataValidation>
  </dataValidations>
  <pageMargins left="0.31496062992125984" right="0.31496062992125984" top="0.35433070866141736" bottom="0.35433070866141736" header="0.31496062992125984" footer="0.31496062992125984"/>
  <pageSetup paperSize="8" scale="49"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FF0CA15E-E37E-40A5-8819-710746A35BAC}">
            <xm:f>CoverSheet!$D$11="EUR"</xm:f>
            <x14:dxf>
              <numFmt numFmtId="187" formatCode="[$€-2]\ #,##0.00;[Red]\-[$€-2]\ #,##0.00"/>
            </x14:dxf>
          </x14:cfRule>
          <xm:sqref>D8:D10 E8:F8 F9:F10 J8:J10 K8:L8 L9:L10 D13:D14 D15 E13:F13 F14:F15 J13:J15 K13:L13 L14:L15 K14 K15 E14:E15 E9:E10 K9:K10 D23:F25 J23:L25 D28:F30 J28:L30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249977111117893"/>
  </sheetPr>
  <dimension ref="A1:JG91"/>
  <sheetViews>
    <sheetView view="pageBreakPreview" topLeftCell="M1" zoomScaleNormal="60" zoomScaleSheetLayoutView="100" zoomScalePageLayoutView="55" workbookViewId="0">
      <selection activeCell="Q14" sqref="Q14:W14"/>
    </sheetView>
  </sheetViews>
  <sheetFormatPr defaultColWidth="0" defaultRowHeight="12.75" x14ac:dyDescent="0.2"/>
  <cols>
    <col min="1" max="12" width="9.140625" style="101" hidden="1" customWidth="1"/>
    <col min="13" max="13" width="23.140625" style="2" customWidth="1"/>
    <col min="14" max="14" width="47.42578125" style="2" customWidth="1"/>
    <col min="15" max="16" width="22" style="2" customWidth="1"/>
    <col min="17" max="20" width="18.85546875" style="2" customWidth="1"/>
    <col min="21" max="21" width="23.85546875" style="2" customWidth="1"/>
    <col min="22" max="22" width="30.85546875" style="2" customWidth="1"/>
    <col min="23" max="23" width="35.140625" style="2" customWidth="1"/>
    <col min="24" max="24" width="4.85546875" style="32" customWidth="1"/>
    <col min="25" max="26" width="18.5703125" style="20" customWidth="1"/>
    <col min="27" max="267" width="0" style="2" hidden="1" customWidth="1"/>
    <col min="268" max="16384" width="9.140625" style="2" hidden="1"/>
  </cols>
  <sheetData>
    <row r="1" spans="13:26" s="7" customFormat="1" ht="37.5" customHeight="1" x14ac:dyDescent="0.2">
      <c r="M1" s="1534" t="str">
        <f>IF(CoverSheet!J12="N/A","Progress Report","Progress Report with Disbursement Request")</f>
        <v>Progress Report with Disbursement Request</v>
      </c>
      <c r="N1" s="1534"/>
      <c r="O1" s="1534"/>
      <c r="P1" s="1534"/>
      <c r="Q1" s="1534"/>
      <c r="R1" s="1534"/>
      <c r="S1" s="1534"/>
      <c r="T1" s="1534"/>
      <c r="U1" s="1534"/>
      <c r="V1" s="1534"/>
      <c r="W1" s="1534"/>
      <c r="X1" s="350"/>
      <c r="Y1" s="350"/>
      <c r="Z1" s="350"/>
    </row>
    <row r="2" spans="13:26" s="19" customFormat="1" ht="15" x14ac:dyDescent="0.2">
      <c r="M2" s="22"/>
      <c r="N2" s="22"/>
      <c r="O2" s="22"/>
      <c r="P2" s="22"/>
      <c r="Q2" s="22"/>
      <c r="R2" s="22"/>
      <c r="S2" s="22"/>
      <c r="T2" s="22"/>
      <c r="U2" s="22"/>
      <c r="V2" s="23"/>
      <c r="W2" s="20"/>
      <c r="X2" s="20"/>
      <c r="Y2" s="20"/>
      <c r="Z2" s="20"/>
    </row>
    <row r="3" spans="13:26" s="34" customFormat="1" ht="25.5" customHeight="1" thickBot="1" x14ac:dyDescent="0.25">
      <c r="M3" s="1535" t="s">
        <v>244</v>
      </c>
      <c r="N3" s="1535"/>
      <c r="O3" s="1535"/>
      <c r="P3" s="1535"/>
      <c r="Q3" s="1535"/>
      <c r="R3" s="1535"/>
      <c r="S3" s="1535"/>
      <c r="T3" s="1535"/>
      <c r="U3" s="1535"/>
      <c r="V3" s="1535"/>
      <c r="W3" s="137"/>
      <c r="X3" s="44"/>
    </row>
    <row r="4" spans="13:26" s="34" customFormat="1" ht="21" thickBot="1" x14ac:dyDescent="0.25">
      <c r="M4" s="24"/>
      <c r="N4" s="24"/>
      <c r="O4" s="24"/>
      <c r="P4" s="24"/>
      <c r="Q4" s="24"/>
      <c r="R4" s="24"/>
      <c r="S4" s="24"/>
      <c r="T4" s="24"/>
      <c r="U4" s="24"/>
      <c r="V4" s="24"/>
      <c r="W4" s="20"/>
      <c r="X4" s="33"/>
    </row>
    <row r="5" spans="13:26" s="22" customFormat="1" ht="27.75" customHeight="1" thickBot="1" x14ac:dyDescent="0.25">
      <c r="M5" s="250"/>
      <c r="N5" s="250"/>
      <c r="O5" s="251"/>
      <c r="P5" s="251"/>
      <c r="Q5" s="252"/>
      <c r="R5" s="253"/>
      <c r="S5" s="1536" t="s">
        <v>27</v>
      </c>
      <c r="T5" s="1537"/>
      <c r="U5" s="1537"/>
      <c r="V5" s="1537"/>
      <c r="W5" s="1538"/>
      <c r="X5" s="23"/>
    </row>
    <row r="6" spans="13:26" s="22" customFormat="1" ht="409.5" customHeight="1" thickBot="1" x14ac:dyDescent="0.25">
      <c r="M6" s="1544" t="s">
        <v>219</v>
      </c>
      <c r="N6" s="1545"/>
      <c r="O6" s="1545"/>
      <c r="P6" s="1545"/>
      <c r="Q6" s="1545"/>
      <c r="R6" s="254" t="s">
        <v>46</v>
      </c>
      <c r="S6" s="1539" t="s">
        <v>1610</v>
      </c>
      <c r="T6" s="1540"/>
      <c r="U6" s="1540"/>
      <c r="V6" s="1540"/>
      <c r="W6" s="1541"/>
      <c r="X6" s="23"/>
    </row>
    <row r="7" spans="13:26" s="22" customFormat="1" ht="15.75" thickBot="1" x14ac:dyDescent="0.25">
      <c r="M7" s="255"/>
      <c r="N7" s="255"/>
      <c r="O7" s="255"/>
      <c r="P7" s="255"/>
      <c r="Q7" s="255"/>
      <c r="R7" s="256"/>
      <c r="S7" s="255"/>
      <c r="T7" s="255"/>
      <c r="U7" s="255"/>
      <c r="V7" s="255"/>
      <c r="W7" s="257"/>
      <c r="X7" s="23"/>
    </row>
    <row r="8" spans="13:26" s="22" customFormat="1" ht="37.5" customHeight="1" thickBot="1" x14ac:dyDescent="0.25">
      <c r="M8" s="1542" t="s">
        <v>539</v>
      </c>
      <c r="N8" s="1543"/>
      <c r="O8" s="1543"/>
      <c r="P8" s="1543"/>
      <c r="Q8" s="1543"/>
      <c r="R8" s="1543"/>
      <c r="S8" s="1543"/>
      <c r="T8" s="1543"/>
      <c r="U8" s="1543"/>
      <c r="V8" s="1543"/>
      <c r="W8" s="1543"/>
      <c r="X8" s="258"/>
    </row>
    <row r="9" spans="13:26" s="177" customFormat="1" ht="34.5" customHeight="1" thickBot="1" x14ac:dyDescent="0.25">
      <c r="M9" s="1536" t="s">
        <v>176</v>
      </c>
      <c r="N9" s="1538"/>
      <c r="O9" s="259" t="s">
        <v>177</v>
      </c>
      <c r="P9" s="260" t="s">
        <v>178</v>
      </c>
      <c r="Q9" s="1536" t="s">
        <v>235</v>
      </c>
      <c r="R9" s="1537"/>
      <c r="S9" s="1537"/>
      <c r="T9" s="1537"/>
      <c r="U9" s="1537"/>
      <c r="V9" s="1537"/>
      <c r="W9" s="1538"/>
      <c r="X9" s="23"/>
      <c r="Y9" s="22"/>
      <c r="Z9" s="22"/>
    </row>
    <row r="10" spans="13:26" s="177" customFormat="1" ht="27" customHeight="1" thickBot="1" x14ac:dyDescent="0.25">
      <c r="M10" s="1546" t="s">
        <v>2</v>
      </c>
      <c r="N10" s="1547"/>
      <c r="O10" s="261" t="s">
        <v>778</v>
      </c>
      <c r="P10" s="261" t="s">
        <v>778</v>
      </c>
      <c r="Q10" s="1548"/>
      <c r="R10" s="1549"/>
      <c r="S10" s="1549"/>
      <c r="T10" s="1549"/>
      <c r="U10" s="1549"/>
      <c r="V10" s="1549"/>
      <c r="W10" s="1550"/>
      <c r="X10" s="23"/>
      <c r="Y10" s="22"/>
      <c r="Z10" s="22"/>
    </row>
    <row r="11" spans="13:26" s="177" customFormat="1" ht="27" customHeight="1" thickBot="1" x14ac:dyDescent="0.25">
      <c r="M11" s="1551" t="s">
        <v>12</v>
      </c>
      <c r="N11" s="1552"/>
      <c r="O11" s="261" t="s">
        <v>778</v>
      </c>
      <c r="P11" s="261" t="s">
        <v>778</v>
      </c>
      <c r="Q11" s="1553"/>
      <c r="R11" s="1554"/>
      <c r="S11" s="1554"/>
      <c r="T11" s="1554"/>
      <c r="U11" s="1554"/>
      <c r="V11" s="1554"/>
      <c r="W11" s="1555"/>
      <c r="X11" s="23"/>
      <c r="Y11" s="22"/>
      <c r="Z11" s="22"/>
    </row>
    <row r="12" spans="13:26" s="177" customFormat="1" ht="27" customHeight="1" thickBot="1" x14ac:dyDescent="0.25">
      <c r="M12" s="1551" t="s">
        <v>229</v>
      </c>
      <c r="N12" s="1552"/>
      <c r="O12" s="261" t="s">
        <v>778</v>
      </c>
      <c r="P12" s="261" t="s">
        <v>778</v>
      </c>
      <c r="Q12" s="1553"/>
      <c r="R12" s="1554"/>
      <c r="S12" s="1554"/>
      <c r="T12" s="1554"/>
      <c r="U12" s="1554"/>
      <c r="V12" s="1554"/>
      <c r="W12" s="1555"/>
      <c r="X12" s="23"/>
      <c r="Y12" s="22"/>
      <c r="Z12" s="22"/>
    </row>
    <row r="13" spans="13:26" s="177" customFormat="1" ht="27" customHeight="1" thickBot="1" x14ac:dyDescent="0.25">
      <c r="M13" s="1551" t="s">
        <v>3</v>
      </c>
      <c r="N13" s="1552"/>
      <c r="O13" s="261" t="s">
        <v>778</v>
      </c>
      <c r="P13" s="261" t="s">
        <v>778</v>
      </c>
      <c r="Q13" s="1556"/>
      <c r="R13" s="1557"/>
      <c r="S13" s="1557"/>
      <c r="T13" s="1557"/>
      <c r="U13" s="1557"/>
      <c r="V13" s="1557"/>
      <c r="W13" s="1557"/>
      <c r="X13" s="258"/>
      <c r="Y13" s="22"/>
      <c r="Z13" s="22"/>
    </row>
    <row r="14" spans="13:26" s="177" customFormat="1" ht="27" customHeight="1" x14ac:dyDescent="0.2">
      <c r="M14" s="1551" t="s">
        <v>4</v>
      </c>
      <c r="N14" s="1552"/>
      <c r="O14" s="261" t="s">
        <v>778</v>
      </c>
      <c r="P14" s="261" t="s">
        <v>778</v>
      </c>
      <c r="Q14" s="1558"/>
      <c r="R14" s="1559"/>
      <c r="S14" s="1559"/>
      <c r="T14" s="1559"/>
      <c r="U14" s="1559"/>
      <c r="V14" s="1559"/>
      <c r="W14" s="1560"/>
      <c r="X14" s="23"/>
      <c r="Y14" s="22"/>
      <c r="Z14" s="22"/>
    </row>
    <row r="15" spans="13:26" s="177" customFormat="1" ht="27" customHeight="1" thickBot="1" x14ac:dyDescent="0.25">
      <c r="M15" s="1561" t="s">
        <v>179</v>
      </c>
      <c r="N15" s="1562"/>
      <c r="O15" s="1352" t="s">
        <v>6</v>
      </c>
      <c r="P15" s="1352" t="s">
        <v>5</v>
      </c>
      <c r="Q15" s="1553" t="s">
        <v>1611</v>
      </c>
      <c r="R15" s="1563"/>
      <c r="S15" s="1563"/>
      <c r="T15" s="1563"/>
      <c r="U15" s="1563"/>
      <c r="V15" s="1563"/>
      <c r="W15" s="1564"/>
      <c r="X15" s="23"/>
      <c r="Y15" s="22"/>
      <c r="Z15" s="22"/>
    </row>
    <row r="16" spans="13:26" s="177" customFormat="1" ht="27" customHeight="1" thickBot="1" x14ac:dyDescent="0.25">
      <c r="M16" s="1561" t="s">
        <v>180</v>
      </c>
      <c r="N16" s="1562"/>
      <c r="O16" s="261" t="s">
        <v>6</v>
      </c>
      <c r="P16" s="261" t="s">
        <v>6</v>
      </c>
      <c r="Q16" s="1553"/>
      <c r="R16" s="1554"/>
      <c r="S16" s="1554"/>
      <c r="T16" s="1554"/>
      <c r="U16" s="1554"/>
      <c r="V16" s="1554"/>
      <c r="W16" s="1555"/>
      <c r="X16" s="23"/>
      <c r="Y16" s="22"/>
      <c r="Z16" s="22"/>
    </row>
    <row r="17" spans="13:26" s="177" customFormat="1" ht="27" customHeight="1" thickBot="1" x14ac:dyDescent="0.25">
      <c r="M17" s="1565" t="s">
        <v>218</v>
      </c>
      <c r="N17" s="1566"/>
      <c r="O17" s="261" t="s">
        <v>6</v>
      </c>
      <c r="P17" s="261" t="s">
        <v>6</v>
      </c>
      <c r="Q17" s="1567"/>
      <c r="R17" s="1568"/>
      <c r="S17" s="1568"/>
      <c r="T17" s="1568"/>
      <c r="U17" s="1568"/>
      <c r="V17" s="1568"/>
      <c r="W17" s="1569"/>
      <c r="X17" s="23"/>
      <c r="Y17" s="22"/>
      <c r="Z17" s="22"/>
    </row>
    <row r="18" spans="13:26" s="177" customFormat="1" ht="15.75" thickBot="1" x14ac:dyDescent="0.25">
      <c r="M18" s="1570"/>
      <c r="N18" s="1570"/>
      <c r="O18" s="268"/>
      <c r="P18" s="268"/>
      <c r="Q18" s="1571"/>
      <c r="R18" s="1571"/>
      <c r="S18" s="22"/>
      <c r="T18" s="22"/>
      <c r="U18" s="22"/>
      <c r="V18" s="22"/>
      <c r="W18" s="22"/>
      <c r="X18" s="23"/>
      <c r="Y18" s="22"/>
      <c r="Z18" s="22"/>
    </row>
    <row r="19" spans="13:26" s="177" customFormat="1" ht="25.5" customHeight="1" thickBot="1" x14ac:dyDescent="0.25">
      <c r="M19" s="1572" t="s">
        <v>181</v>
      </c>
      <c r="N19" s="1573"/>
      <c r="O19" s="1573"/>
      <c r="P19" s="1573"/>
      <c r="Q19" s="1573"/>
      <c r="R19" s="1573"/>
      <c r="S19" s="1573"/>
      <c r="T19" s="1573"/>
      <c r="U19" s="1573"/>
      <c r="V19" s="1573"/>
      <c r="W19" s="1574"/>
      <c r="X19" s="23"/>
      <c r="Y19" s="22"/>
      <c r="Z19" s="22"/>
    </row>
    <row r="20" spans="13:26" s="177" customFormat="1" ht="131.25" customHeight="1" thickBot="1" x14ac:dyDescent="0.25">
      <c r="M20" s="1575"/>
      <c r="N20" s="1576"/>
      <c r="O20" s="1576"/>
      <c r="P20" s="1576"/>
      <c r="Q20" s="1576"/>
      <c r="R20" s="1576"/>
      <c r="S20" s="1576"/>
      <c r="T20" s="1576"/>
      <c r="U20" s="1576"/>
      <c r="V20" s="1576"/>
      <c r="W20" s="1577"/>
      <c r="X20" s="23"/>
      <c r="Y20" s="22"/>
      <c r="Z20" s="22"/>
    </row>
    <row r="21" spans="13:26" s="177" customFormat="1" ht="31.5" customHeight="1" x14ac:dyDescent="0.2">
      <c r="M21" s="269"/>
      <c r="N21" s="269"/>
      <c r="O21" s="269"/>
      <c r="P21" s="269"/>
      <c r="Q21" s="269"/>
      <c r="R21" s="269"/>
      <c r="S21" s="269"/>
      <c r="T21" s="269"/>
      <c r="U21" s="269"/>
      <c r="V21" s="269"/>
      <c r="W21" s="269"/>
      <c r="X21" s="23"/>
      <c r="Y21" s="22"/>
      <c r="Z21" s="22"/>
    </row>
    <row r="22" spans="13:26" s="177" customFormat="1" ht="25.5" x14ac:dyDescent="0.35">
      <c r="M22" s="314" t="s">
        <v>102</v>
      </c>
      <c r="N22" s="22"/>
      <c r="O22" s="22"/>
      <c r="P22" s="22"/>
      <c r="Q22" s="22"/>
      <c r="R22" s="22"/>
      <c r="S22" s="22"/>
      <c r="T22" s="22"/>
      <c r="U22" s="22"/>
      <c r="V22" s="23"/>
      <c r="W22" s="22"/>
      <c r="X22" s="23"/>
      <c r="Y22" s="22"/>
      <c r="Z22" s="22"/>
    </row>
    <row r="23" spans="13:26" s="177" customFormat="1" ht="2.25" customHeight="1" x14ac:dyDescent="0.2">
      <c r="M23" s="22"/>
      <c r="N23" s="22"/>
      <c r="O23" s="22"/>
      <c r="P23" s="22"/>
      <c r="Q23" s="22"/>
      <c r="R23" s="22"/>
      <c r="S23" s="22"/>
      <c r="T23" s="22"/>
      <c r="U23" s="22"/>
      <c r="V23" s="23"/>
      <c r="W23" s="22"/>
      <c r="X23" s="23"/>
      <c r="Y23" s="22"/>
      <c r="Z23" s="22"/>
    </row>
    <row r="24" spans="13:26" s="177" customFormat="1" ht="9.75" customHeight="1" x14ac:dyDescent="0.2">
      <c r="M24" s="22"/>
      <c r="N24" s="22"/>
      <c r="O24" s="22"/>
      <c r="P24" s="22"/>
      <c r="Q24" s="22"/>
      <c r="R24" s="22"/>
      <c r="S24" s="22"/>
      <c r="T24" s="22"/>
      <c r="U24" s="22"/>
      <c r="V24" s="22"/>
      <c r="W24" s="22"/>
      <c r="X24" s="23"/>
      <c r="Y24" s="22"/>
      <c r="Z24" s="22"/>
    </row>
    <row r="25" spans="13:26" s="177" customFormat="1" ht="30.75" customHeight="1" x14ac:dyDescent="0.2">
      <c r="M25" s="1578" t="s">
        <v>159</v>
      </c>
      <c r="N25" s="1535"/>
      <c r="O25" s="1535"/>
      <c r="P25" s="1535"/>
      <c r="Q25" s="1535"/>
      <c r="R25" s="1535"/>
      <c r="S25" s="1535"/>
      <c r="T25" s="1535"/>
      <c r="U25" s="1535"/>
      <c r="V25" s="1535"/>
      <c r="W25" s="1535"/>
      <c r="X25" s="23"/>
      <c r="Y25" s="22"/>
      <c r="Z25" s="22"/>
    </row>
    <row r="26" spans="13:26" s="177" customFormat="1" ht="7.5" customHeight="1" x14ac:dyDescent="0.2">
      <c r="M26" s="270"/>
      <c r="N26" s="271"/>
      <c r="O26" s="271"/>
      <c r="P26" s="271"/>
      <c r="Q26" s="272"/>
      <c r="R26" s="272"/>
      <c r="S26" s="272"/>
      <c r="T26" s="272"/>
      <c r="U26" s="272"/>
      <c r="V26" s="272"/>
      <c r="W26" s="273"/>
      <c r="X26" s="23"/>
      <c r="Y26" s="22"/>
      <c r="Z26" s="22"/>
    </row>
    <row r="27" spans="13:26" s="177" customFormat="1" ht="15.75" thickBot="1" x14ac:dyDescent="0.25">
      <c r="M27" s="274"/>
      <c r="N27" s="274"/>
      <c r="O27" s="275"/>
      <c r="P27" s="275"/>
      <c r="Q27" s="275"/>
      <c r="R27" s="275"/>
      <c r="S27" s="275"/>
      <c r="T27" s="275"/>
      <c r="U27" s="275"/>
      <c r="V27" s="275"/>
      <c r="W27" s="276"/>
      <c r="X27" s="23"/>
      <c r="Y27" s="22"/>
      <c r="Z27" s="22"/>
    </row>
    <row r="28" spans="13:26" s="177" customFormat="1" ht="25.5" customHeight="1" thickBot="1" x14ac:dyDescent="0.25">
      <c r="M28" s="277"/>
      <c r="N28" s="278"/>
      <c r="O28" s="279" t="s">
        <v>32</v>
      </c>
      <c r="P28" s="280" t="s">
        <v>33</v>
      </c>
      <c r="Q28" s="1579" t="s">
        <v>1</v>
      </c>
      <c r="R28" s="1580"/>
      <c r="S28" s="1580"/>
      <c r="T28" s="1580"/>
      <c r="U28" s="1581"/>
      <c r="V28" s="1581"/>
      <c r="W28" s="1582"/>
      <c r="X28" s="23"/>
      <c r="Y28" s="22"/>
      <c r="Z28" s="22"/>
    </row>
    <row r="29" spans="13:26" s="177" customFormat="1" ht="111" customHeight="1" thickBot="1" x14ac:dyDescent="0.25">
      <c r="M29" s="1586" t="s">
        <v>62</v>
      </c>
      <c r="N29" s="1587"/>
      <c r="O29" s="841" t="str">
        <f>IFERROR(R6,"")</f>
        <v>Select</v>
      </c>
      <c r="P29" s="559" t="s">
        <v>46</v>
      </c>
      <c r="Q29" s="1583"/>
      <c r="R29" s="1583"/>
      <c r="S29" s="1583"/>
      <c r="T29" s="1583"/>
      <c r="U29" s="1584"/>
      <c r="V29" s="1584"/>
      <c r="W29" s="1585"/>
      <c r="X29" s="23"/>
      <c r="Y29" s="22"/>
      <c r="Z29" s="22"/>
    </row>
    <row r="30" spans="13:26" s="177" customFormat="1" ht="15.75" thickBot="1" x14ac:dyDescent="0.25">
      <c r="M30" s="281"/>
      <c r="N30" s="282"/>
      <c r="O30" s="283"/>
      <c r="P30" s="284"/>
      <c r="Q30" s="285"/>
      <c r="R30" s="286"/>
      <c r="S30" s="287"/>
      <c r="T30" s="288"/>
      <c r="U30" s="289"/>
      <c r="V30" s="290"/>
      <c r="W30" s="291"/>
      <c r="X30" s="23"/>
      <c r="Y30" s="22"/>
      <c r="Z30" s="22"/>
    </row>
    <row r="31" spans="13:26" s="177" customFormat="1" ht="21.75" customHeight="1" x14ac:dyDescent="0.2">
      <c r="M31" s="292" t="s">
        <v>265</v>
      </c>
      <c r="N31" s="292"/>
      <c r="O31" s="292"/>
      <c r="P31" s="292"/>
      <c r="Q31" s="293"/>
      <c r="R31" s="293"/>
      <c r="S31" s="294"/>
      <c r="T31" s="295"/>
      <c r="U31" s="295"/>
      <c r="V31" s="295"/>
      <c r="W31" s="296"/>
      <c r="X31" s="23"/>
      <c r="Y31" s="22"/>
      <c r="Z31" s="22"/>
    </row>
    <row r="32" spans="13:26" s="177" customFormat="1" ht="57" customHeight="1" thickBot="1" x14ac:dyDescent="0.25">
      <c r="M32" s="1588" t="s">
        <v>220</v>
      </c>
      <c r="N32" s="1588"/>
      <c r="O32" s="1588"/>
      <c r="P32" s="1588"/>
      <c r="Q32" s="1588"/>
      <c r="R32" s="1588"/>
      <c r="S32" s="1588"/>
      <c r="T32" s="1588"/>
      <c r="U32" s="1588"/>
      <c r="V32" s="1588"/>
      <c r="W32" s="1589"/>
      <c r="X32" s="23"/>
      <c r="Y32" s="22"/>
      <c r="Z32" s="22"/>
    </row>
    <row r="33" spans="13:26" s="177" customFormat="1" ht="35.25" customHeight="1" thickBot="1" x14ac:dyDescent="0.25">
      <c r="M33" s="1590" t="s">
        <v>34</v>
      </c>
      <c r="N33" s="1591"/>
      <c r="O33" s="245"/>
      <c r="P33" s="297"/>
      <c r="Q33" s="297"/>
      <c r="R33" s="297"/>
      <c r="S33" s="297"/>
      <c r="T33" s="297"/>
      <c r="U33" s="298"/>
      <c r="V33" s="297"/>
      <c r="W33" s="299"/>
      <c r="X33" s="23"/>
      <c r="Y33" s="22"/>
      <c r="Z33" s="22"/>
    </row>
    <row r="34" spans="13:26" s="177" customFormat="1" ht="138.75" customHeight="1" thickBot="1" x14ac:dyDescent="0.25">
      <c r="M34" s="1579" t="s">
        <v>35</v>
      </c>
      <c r="N34" s="1592"/>
      <c r="O34" s="300" t="s">
        <v>63</v>
      </c>
      <c r="P34" s="300" t="s">
        <v>68</v>
      </c>
      <c r="Q34" s="301" t="s">
        <v>41</v>
      </c>
      <c r="R34" s="1592" t="s">
        <v>42</v>
      </c>
      <c r="S34" s="1580"/>
      <c r="T34" s="819" t="s">
        <v>541</v>
      </c>
      <c r="U34" s="819" t="s">
        <v>540</v>
      </c>
      <c r="V34" s="300" t="s">
        <v>41</v>
      </c>
      <c r="W34" s="302" t="s">
        <v>42</v>
      </c>
      <c r="X34" s="23"/>
      <c r="Y34" s="22"/>
      <c r="Z34" s="22"/>
    </row>
    <row r="35" spans="13:26" s="177" customFormat="1" ht="22.5" customHeight="1" x14ac:dyDescent="0.2">
      <c r="M35" s="1593" t="s">
        <v>2</v>
      </c>
      <c r="N35" s="1594"/>
      <c r="O35" s="303"/>
      <c r="P35" s="303"/>
      <c r="Q35" s="304" t="str">
        <f t="shared" ref="Q35:Q41" si="0">IF(O35="",IF(P35="","",O35-P35),O35-P35)</f>
        <v/>
      </c>
      <c r="R35" s="1595"/>
      <c r="S35" s="1596"/>
      <c r="T35" s="303"/>
      <c r="U35" s="303"/>
      <c r="V35" s="304" t="str">
        <f t="shared" ref="V35:V41" si="1">IF(T35="",IF(U35="","",T35-U35),T35-U35)</f>
        <v/>
      </c>
      <c r="W35" s="246"/>
      <c r="X35" s="23"/>
      <c r="Y35" s="22"/>
      <c r="Z35" s="22"/>
    </row>
    <row r="36" spans="13:26" s="177" customFormat="1" ht="22.5" customHeight="1" x14ac:dyDescent="0.2">
      <c r="M36" s="1597" t="s">
        <v>12</v>
      </c>
      <c r="N36" s="1598"/>
      <c r="O36" s="305"/>
      <c r="P36" s="305"/>
      <c r="Q36" s="304" t="str">
        <f t="shared" si="0"/>
        <v/>
      </c>
      <c r="R36" s="1599"/>
      <c r="S36" s="1600"/>
      <c r="T36" s="305"/>
      <c r="U36" s="305"/>
      <c r="V36" s="304" t="str">
        <f t="shared" si="1"/>
        <v/>
      </c>
      <c r="W36" s="247"/>
      <c r="X36" s="23"/>
      <c r="Y36" s="22"/>
      <c r="Z36" s="22"/>
    </row>
    <row r="37" spans="13:26" s="177" customFormat="1" ht="22.5" customHeight="1" x14ac:dyDescent="0.2">
      <c r="M37" s="1597" t="s">
        <v>229</v>
      </c>
      <c r="N37" s="1598"/>
      <c r="O37" s="305"/>
      <c r="P37" s="305"/>
      <c r="Q37" s="304" t="str">
        <f t="shared" si="0"/>
        <v/>
      </c>
      <c r="R37" s="1599"/>
      <c r="S37" s="1600"/>
      <c r="T37" s="305"/>
      <c r="U37" s="305"/>
      <c r="V37" s="304" t="str">
        <f t="shared" si="1"/>
        <v/>
      </c>
      <c r="W37" s="247"/>
      <c r="X37" s="23"/>
      <c r="Y37" s="22"/>
      <c r="Z37" s="22"/>
    </row>
    <row r="38" spans="13:26" s="177" customFormat="1" ht="22.5" customHeight="1" x14ac:dyDescent="0.2">
      <c r="M38" s="1597" t="s">
        <v>3</v>
      </c>
      <c r="N38" s="1598"/>
      <c r="O38" s="305"/>
      <c r="P38" s="305"/>
      <c r="Q38" s="304" t="str">
        <f t="shared" si="0"/>
        <v/>
      </c>
      <c r="R38" s="1599"/>
      <c r="S38" s="1600"/>
      <c r="T38" s="305"/>
      <c r="U38" s="305"/>
      <c r="V38" s="304" t="str">
        <f t="shared" si="1"/>
        <v/>
      </c>
      <c r="W38" s="247"/>
      <c r="X38" s="23"/>
      <c r="Y38" s="22"/>
      <c r="Z38" s="22"/>
    </row>
    <row r="39" spans="13:26" s="177" customFormat="1" ht="22.5" customHeight="1" x14ac:dyDescent="0.2">
      <c r="M39" s="1597" t="s">
        <v>4</v>
      </c>
      <c r="N39" s="1598"/>
      <c r="O39" s="305"/>
      <c r="P39" s="305"/>
      <c r="Q39" s="304" t="str">
        <f t="shared" si="0"/>
        <v/>
      </c>
      <c r="R39" s="1599"/>
      <c r="S39" s="1600"/>
      <c r="T39" s="305"/>
      <c r="U39" s="305"/>
      <c r="V39" s="304" t="str">
        <f t="shared" si="1"/>
        <v/>
      </c>
      <c r="W39" s="247"/>
      <c r="X39" s="23"/>
      <c r="Y39" s="22"/>
      <c r="Z39" s="22"/>
    </row>
    <row r="40" spans="13:26" s="177" customFormat="1" ht="22.5" customHeight="1" x14ac:dyDescent="0.2">
      <c r="M40" s="1601" t="s">
        <v>179</v>
      </c>
      <c r="N40" s="1602"/>
      <c r="O40" s="306"/>
      <c r="P40" s="306"/>
      <c r="Q40" s="304" t="str">
        <f t="shared" si="0"/>
        <v/>
      </c>
      <c r="R40" s="1609"/>
      <c r="S40" s="1610"/>
      <c r="T40" s="306"/>
      <c r="U40" s="306"/>
      <c r="V40" s="304" t="str">
        <f t="shared" si="1"/>
        <v/>
      </c>
      <c r="W40" s="248"/>
      <c r="X40" s="23"/>
      <c r="Y40" s="22"/>
      <c r="Z40" s="22"/>
    </row>
    <row r="41" spans="13:26" s="177" customFormat="1" ht="22.5" customHeight="1" thickBot="1" x14ac:dyDescent="0.25">
      <c r="M41" s="1601" t="s">
        <v>230</v>
      </c>
      <c r="N41" s="1602"/>
      <c r="O41" s="306"/>
      <c r="P41" s="306"/>
      <c r="Q41" s="304" t="str">
        <f t="shared" si="0"/>
        <v/>
      </c>
      <c r="R41" s="1603"/>
      <c r="S41" s="1604"/>
      <c r="T41" s="306"/>
      <c r="U41" s="306"/>
      <c r="V41" s="362" t="str">
        <f t="shared" si="1"/>
        <v/>
      </c>
      <c r="W41" s="248"/>
      <c r="X41" s="23"/>
      <c r="Y41" s="22"/>
      <c r="Z41" s="22"/>
    </row>
    <row r="42" spans="13:26" s="177" customFormat="1" ht="22.5" customHeight="1" thickBot="1" x14ac:dyDescent="0.25">
      <c r="M42" s="1605" t="s">
        <v>60</v>
      </c>
      <c r="N42" s="1606"/>
      <c r="O42" s="307">
        <f>SUM(O35:O41)</f>
        <v>0</v>
      </c>
      <c r="P42" s="307">
        <f>SUM(P35:P41)</f>
        <v>0</v>
      </c>
      <c r="Q42" s="307">
        <f>SUM(Q35:Q41)</f>
        <v>0</v>
      </c>
      <c r="R42" s="1607"/>
      <c r="S42" s="1608"/>
      <c r="T42" s="307">
        <f>SUM(T35:T41)</f>
        <v>0</v>
      </c>
      <c r="U42" s="307">
        <f>SUM(U35:U41)</f>
        <v>0</v>
      </c>
      <c r="V42" s="363">
        <f>SUM(V35:V41)</f>
        <v>0</v>
      </c>
      <c r="W42" s="249"/>
      <c r="X42" s="23"/>
      <c r="Y42" s="22"/>
      <c r="Z42" s="22"/>
    </row>
    <row r="43" spans="13:26" s="177" customFormat="1" ht="15.75" thickBot="1" x14ac:dyDescent="0.25">
      <c r="M43" s="308"/>
      <c r="N43" s="309"/>
      <c r="O43" s="310"/>
      <c r="P43" s="310"/>
      <c r="Q43" s="310"/>
      <c r="R43" s="311"/>
      <c r="S43" s="312"/>
      <c r="T43" s="310"/>
      <c r="U43" s="310"/>
      <c r="V43" s="364"/>
      <c r="W43" s="311"/>
      <c r="X43" s="23"/>
      <c r="Y43" s="22"/>
      <c r="Z43" s="22"/>
    </row>
    <row r="44" spans="13:26" s="177" customFormat="1" ht="43.5" customHeight="1" thickBot="1" x14ac:dyDescent="0.25">
      <c r="M44" s="1611" t="s">
        <v>221</v>
      </c>
      <c r="N44" s="1612"/>
      <c r="O44" s="1612"/>
      <c r="P44" s="1612"/>
      <c r="Q44" s="1612"/>
      <c r="R44" s="1612"/>
      <c r="S44" s="1612"/>
      <c r="T44" s="1612"/>
      <c r="U44" s="1612"/>
      <c r="V44" s="1612"/>
      <c r="W44" s="1613"/>
      <c r="X44" s="23"/>
      <c r="Y44" s="22"/>
      <c r="Z44" s="22"/>
    </row>
    <row r="45" spans="13:26" s="177" customFormat="1" ht="33.75" customHeight="1" thickBot="1" x14ac:dyDescent="0.25">
      <c r="M45" s="1614" t="s">
        <v>176</v>
      </c>
      <c r="N45" s="1615"/>
      <c r="O45" s="313" t="s">
        <v>177</v>
      </c>
      <c r="P45" s="313" t="s">
        <v>178</v>
      </c>
      <c r="Q45" s="1614" t="s">
        <v>235</v>
      </c>
      <c r="R45" s="1616"/>
      <c r="S45" s="1616"/>
      <c r="T45" s="1616"/>
      <c r="U45" s="1616"/>
      <c r="V45" s="1616"/>
      <c r="W45" s="1615"/>
      <c r="X45" s="23"/>
      <c r="Y45" s="22"/>
      <c r="Z45" s="22"/>
    </row>
    <row r="46" spans="13:26" s="177" customFormat="1" ht="26.25" customHeight="1" x14ac:dyDescent="0.2">
      <c r="M46" s="1593" t="s">
        <v>2</v>
      </c>
      <c r="N46" s="1594"/>
      <c r="O46" s="261" t="s">
        <v>46</v>
      </c>
      <c r="P46" s="262" t="s">
        <v>46</v>
      </c>
      <c r="Q46" s="1617"/>
      <c r="R46" s="1618"/>
      <c r="S46" s="1618"/>
      <c r="T46" s="1618"/>
      <c r="U46" s="1618"/>
      <c r="V46" s="1618"/>
      <c r="W46" s="1619"/>
      <c r="X46" s="23"/>
      <c r="Y46" s="22"/>
      <c r="Z46" s="22"/>
    </row>
    <row r="47" spans="13:26" s="177" customFormat="1" ht="26.25" customHeight="1" x14ac:dyDescent="0.2">
      <c r="M47" s="1597" t="s">
        <v>12</v>
      </c>
      <c r="N47" s="1598"/>
      <c r="O47" s="263" t="s">
        <v>46</v>
      </c>
      <c r="P47" s="263" t="s">
        <v>46</v>
      </c>
      <c r="Q47" s="1558"/>
      <c r="R47" s="1559"/>
      <c r="S47" s="1559"/>
      <c r="T47" s="1559"/>
      <c r="U47" s="1559"/>
      <c r="V47" s="1559"/>
      <c r="W47" s="1560"/>
      <c r="X47" s="23"/>
      <c r="Y47" s="22"/>
      <c r="Z47" s="22"/>
    </row>
    <row r="48" spans="13:26" s="177" customFormat="1" ht="26.25" customHeight="1" x14ac:dyDescent="0.2">
      <c r="M48" s="1597" t="s">
        <v>229</v>
      </c>
      <c r="N48" s="1598"/>
      <c r="O48" s="264" t="s">
        <v>46</v>
      </c>
      <c r="P48" s="265" t="s">
        <v>46</v>
      </c>
      <c r="Q48" s="1558"/>
      <c r="R48" s="1559"/>
      <c r="S48" s="1559"/>
      <c r="T48" s="1559"/>
      <c r="U48" s="1559"/>
      <c r="V48" s="1559"/>
      <c r="W48" s="1560"/>
      <c r="X48" s="23"/>
      <c r="Y48" s="22"/>
      <c r="Z48" s="22"/>
    </row>
    <row r="49" spans="1:26" s="177" customFormat="1" ht="26.25" customHeight="1" x14ac:dyDescent="0.2">
      <c r="M49" s="1597" t="s">
        <v>3</v>
      </c>
      <c r="N49" s="1598"/>
      <c r="O49" s="266" t="s">
        <v>46</v>
      </c>
      <c r="P49" s="266" t="s">
        <v>46</v>
      </c>
      <c r="Q49" s="1558"/>
      <c r="R49" s="1559"/>
      <c r="S49" s="1559"/>
      <c r="T49" s="1559"/>
      <c r="U49" s="1559"/>
      <c r="V49" s="1559"/>
      <c r="W49" s="1560"/>
      <c r="X49" s="23"/>
      <c r="Y49" s="22"/>
      <c r="Z49" s="22"/>
    </row>
    <row r="50" spans="1:26" s="177" customFormat="1" ht="26.25" customHeight="1" x14ac:dyDescent="0.2">
      <c r="M50" s="1597" t="s">
        <v>4</v>
      </c>
      <c r="N50" s="1598"/>
      <c r="O50" s="266" t="s">
        <v>46</v>
      </c>
      <c r="P50" s="266" t="s">
        <v>46</v>
      </c>
      <c r="Q50" s="1558"/>
      <c r="R50" s="1559"/>
      <c r="S50" s="1559"/>
      <c r="T50" s="1559"/>
      <c r="U50" s="1559"/>
      <c r="V50" s="1559"/>
      <c r="W50" s="1560"/>
      <c r="X50" s="23"/>
      <c r="Y50" s="22"/>
      <c r="Z50" s="22"/>
    </row>
    <row r="51" spans="1:26" s="177" customFormat="1" ht="26.25" customHeight="1" x14ac:dyDescent="0.2">
      <c r="M51" s="1597" t="s">
        <v>179</v>
      </c>
      <c r="N51" s="1623"/>
      <c r="O51" s="266" t="s">
        <v>46</v>
      </c>
      <c r="P51" s="266" t="s">
        <v>46</v>
      </c>
      <c r="Q51" s="1553"/>
      <c r="R51" s="1554"/>
      <c r="S51" s="1554"/>
      <c r="T51" s="1554"/>
      <c r="U51" s="1554"/>
      <c r="V51" s="1554"/>
      <c r="W51" s="1555"/>
      <c r="X51" s="23"/>
      <c r="Y51" s="22"/>
      <c r="Z51" s="22"/>
    </row>
    <row r="52" spans="1:26" s="177" customFormat="1" ht="26.25" customHeight="1" x14ac:dyDescent="0.2">
      <c r="M52" s="1624" t="s">
        <v>180</v>
      </c>
      <c r="N52" s="1625"/>
      <c r="O52" s="266" t="s">
        <v>46</v>
      </c>
      <c r="P52" s="266" t="s">
        <v>46</v>
      </c>
      <c r="Q52" s="1553"/>
      <c r="R52" s="1554"/>
      <c r="S52" s="1554"/>
      <c r="T52" s="1554"/>
      <c r="U52" s="1554"/>
      <c r="V52" s="1554"/>
      <c r="W52" s="1555"/>
      <c r="X52" s="23"/>
      <c r="Y52" s="22"/>
      <c r="Z52" s="22"/>
    </row>
    <row r="53" spans="1:26" s="177" customFormat="1" ht="26.25" customHeight="1" thickBot="1" x14ac:dyDescent="0.25">
      <c r="M53" s="1626" t="s">
        <v>218</v>
      </c>
      <c r="N53" s="1627"/>
      <c r="O53" s="267" t="s">
        <v>46</v>
      </c>
      <c r="P53" s="267" t="s">
        <v>46</v>
      </c>
      <c r="Q53" s="1567"/>
      <c r="R53" s="1568"/>
      <c r="S53" s="1568"/>
      <c r="T53" s="1568"/>
      <c r="U53" s="1568"/>
      <c r="V53" s="1568"/>
      <c r="W53" s="1569"/>
      <c r="X53" s="23"/>
      <c r="Y53" s="22"/>
      <c r="Z53" s="22"/>
    </row>
    <row r="54" spans="1:26" ht="14.25" x14ac:dyDescent="0.2">
      <c r="M54" s="38"/>
      <c r="N54" s="38"/>
      <c r="O54" s="36"/>
      <c r="P54" s="36"/>
      <c r="Q54" s="36"/>
      <c r="R54" s="37"/>
      <c r="S54" s="39"/>
      <c r="T54" s="36"/>
      <c r="U54" s="36"/>
      <c r="V54" s="36"/>
      <c r="W54" s="34"/>
    </row>
    <row r="55" spans="1:26" ht="15" thickBot="1" x14ac:dyDescent="0.25">
      <c r="M55" s="28"/>
      <c r="N55" s="40"/>
      <c r="O55" s="40"/>
      <c r="P55" s="40"/>
      <c r="Q55" s="40"/>
      <c r="R55" s="29"/>
      <c r="S55" s="41"/>
      <c r="T55" s="42"/>
      <c r="U55" s="43"/>
      <c r="V55" s="43"/>
      <c r="W55" s="127"/>
    </row>
    <row r="56" spans="1:26" ht="27.75" customHeight="1" thickBot="1" x14ac:dyDescent="0.25">
      <c r="M56" s="1611" t="s">
        <v>103</v>
      </c>
      <c r="N56" s="1612"/>
      <c r="O56" s="1612"/>
      <c r="P56" s="1612"/>
      <c r="Q56" s="1612"/>
      <c r="R56" s="1612"/>
      <c r="S56" s="1612"/>
      <c r="T56" s="1612"/>
      <c r="U56" s="1612"/>
      <c r="V56" s="1612"/>
      <c r="W56" s="1613"/>
    </row>
    <row r="57" spans="1:26" ht="129.75" customHeight="1" thickBot="1" x14ac:dyDescent="0.25">
      <c r="M57" s="1620"/>
      <c r="N57" s="1621"/>
      <c r="O57" s="1621"/>
      <c r="P57" s="1621"/>
      <c r="Q57" s="1621"/>
      <c r="R57" s="1621"/>
      <c r="S57" s="1621"/>
      <c r="T57" s="1621"/>
      <c r="U57" s="1621"/>
      <c r="V57" s="1621"/>
      <c r="W57" s="1622"/>
    </row>
    <row r="58" spans="1:26" x14ac:dyDescent="0.2">
      <c r="M58" s="3"/>
      <c r="N58" s="3"/>
      <c r="O58" s="3"/>
      <c r="P58" s="3"/>
      <c r="Q58" s="3"/>
      <c r="R58" s="128"/>
      <c r="S58" s="3"/>
      <c r="T58" s="3"/>
      <c r="U58" s="3"/>
      <c r="V58" s="3"/>
      <c r="W58" s="20"/>
    </row>
    <row r="61" spans="1:26" x14ac:dyDescent="0.2">
      <c r="A61" s="640"/>
      <c r="B61" s="640"/>
      <c r="C61" s="640"/>
      <c r="D61" s="640"/>
      <c r="E61" s="640"/>
      <c r="F61" s="640"/>
      <c r="G61" s="640"/>
      <c r="H61" s="640"/>
      <c r="I61" s="640"/>
      <c r="J61" s="640"/>
      <c r="K61" s="640"/>
      <c r="L61" s="640"/>
      <c r="M61" s="640"/>
      <c r="N61" s="640"/>
      <c r="O61" s="640"/>
    </row>
    <row r="62" spans="1:26" x14ac:dyDescent="0.2">
      <c r="A62" s="640"/>
      <c r="B62" s="640"/>
      <c r="C62" s="640"/>
      <c r="D62" s="640"/>
      <c r="E62" s="640"/>
      <c r="F62" s="640"/>
      <c r="G62" s="640"/>
      <c r="H62" s="640"/>
      <c r="I62" s="640"/>
      <c r="J62" s="640"/>
      <c r="K62" s="640"/>
      <c r="L62" s="640"/>
      <c r="M62" s="640"/>
      <c r="N62" s="640"/>
      <c r="O62" s="640"/>
    </row>
    <row r="63" spans="1:26" x14ac:dyDescent="0.2">
      <c r="A63" s="640"/>
      <c r="B63" s="640"/>
      <c r="C63" s="640"/>
      <c r="D63" s="640"/>
      <c r="E63" s="640"/>
      <c r="F63" s="640"/>
      <c r="G63" s="640"/>
      <c r="H63" s="640"/>
      <c r="I63" s="640"/>
      <c r="J63" s="640"/>
      <c r="K63" s="640"/>
      <c r="L63" s="640"/>
      <c r="M63" s="640"/>
      <c r="N63" s="640"/>
      <c r="O63" s="640"/>
    </row>
    <row r="64" spans="1:26" x14ac:dyDescent="0.2">
      <c r="A64" s="640"/>
      <c r="B64" s="640"/>
      <c r="C64" s="640"/>
      <c r="D64" s="640"/>
      <c r="E64" s="640"/>
      <c r="F64" s="640"/>
      <c r="G64" s="640"/>
      <c r="H64" s="640"/>
      <c r="I64" s="640"/>
      <c r="J64" s="640"/>
      <c r="K64" s="640"/>
      <c r="L64" s="640"/>
      <c r="M64" s="640"/>
      <c r="N64" s="640"/>
      <c r="O64" s="640"/>
    </row>
    <row r="65" spans="1:17" x14ac:dyDescent="0.2">
      <c r="A65" s="640"/>
      <c r="B65" s="640"/>
      <c r="C65" s="640"/>
      <c r="D65" s="640"/>
      <c r="E65" s="640"/>
      <c r="F65" s="640"/>
      <c r="G65" s="640"/>
      <c r="H65" s="640"/>
      <c r="I65" s="640"/>
      <c r="J65" s="640"/>
      <c r="K65" s="640"/>
      <c r="L65" s="640"/>
      <c r="M65" s="640"/>
      <c r="N65" s="640"/>
      <c r="O65" s="640"/>
      <c r="P65" s="101"/>
      <c r="Q65" s="101"/>
    </row>
    <row r="66" spans="1:17" x14ac:dyDescent="0.2">
      <c r="A66" s="640"/>
      <c r="B66" s="640"/>
      <c r="C66" s="640"/>
      <c r="D66" s="640"/>
      <c r="E66" s="640"/>
      <c r="F66" s="640"/>
      <c r="G66" s="640"/>
      <c r="H66" s="640"/>
      <c r="I66" s="640"/>
      <c r="J66" s="640"/>
      <c r="K66" s="640"/>
      <c r="L66" s="640"/>
      <c r="M66" s="640"/>
      <c r="N66" s="640"/>
      <c r="O66" s="640"/>
      <c r="P66" s="101"/>
      <c r="Q66" s="101"/>
    </row>
    <row r="67" spans="1:17" x14ac:dyDescent="0.2">
      <c r="A67" s="640"/>
      <c r="B67" s="640"/>
      <c r="C67" s="640"/>
      <c r="D67" s="640"/>
      <c r="E67" s="640"/>
      <c r="F67" s="640"/>
      <c r="G67" s="640"/>
      <c r="H67" s="640"/>
      <c r="I67" s="640"/>
      <c r="J67" s="640"/>
      <c r="K67" s="640"/>
      <c r="L67" s="640"/>
      <c r="M67" s="640"/>
      <c r="N67" s="640"/>
      <c r="O67" s="640"/>
      <c r="P67" s="101"/>
      <c r="Q67" s="101"/>
    </row>
    <row r="68" spans="1:17" x14ac:dyDescent="0.2">
      <c r="A68" s="640"/>
      <c r="B68" s="640"/>
      <c r="C68" s="640"/>
      <c r="D68" s="640"/>
      <c r="E68" s="640"/>
      <c r="F68" s="640"/>
      <c r="G68" s="640"/>
      <c r="H68" s="640"/>
      <c r="I68" s="640"/>
      <c r="J68" s="640"/>
      <c r="K68" s="640"/>
      <c r="L68" s="640"/>
      <c r="M68" s="640"/>
      <c r="N68" s="640"/>
      <c r="O68" s="640"/>
      <c r="P68" s="101"/>
      <c r="Q68" s="101"/>
    </row>
    <row r="69" spans="1:17" x14ac:dyDescent="0.2">
      <c r="A69" s="640"/>
      <c r="B69" s="640"/>
      <c r="C69" s="640"/>
      <c r="D69" s="640"/>
      <c r="E69" s="640"/>
      <c r="F69" s="640"/>
      <c r="G69" s="640"/>
      <c r="H69" s="640"/>
      <c r="I69" s="640"/>
      <c r="J69" s="640"/>
      <c r="K69" s="640"/>
      <c r="L69" s="640"/>
      <c r="M69" s="640"/>
      <c r="N69" s="640"/>
      <c r="O69" s="640"/>
      <c r="P69" s="101"/>
      <c r="Q69" s="101"/>
    </row>
    <row r="70" spans="1:17" x14ac:dyDescent="0.2">
      <c r="A70" s="519"/>
      <c r="B70" s="519"/>
      <c r="C70" s="519"/>
      <c r="D70" s="519"/>
      <c r="E70" s="519"/>
      <c r="F70" s="519"/>
      <c r="G70" s="519"/>
      <c r="H70" s="519"/>
      <c r="I70" s="519"/>
      <c r="J70" s="519"/>
      <c r="K70" s="519"/>
      <c r="L70" s="519"/>
      <c r="M70" s="519"/>
      <c r="N70" s="519"/>
      <c r="O70" s="640"/>
      <c r="P70" s="101"/>
      <c r="Q70" s="101"/>
    </row>
    <row r="71" spans="1:17" x14ac:dyDescent="0.2">
      <c r="A71" s="519"/>
      <c r="B71" s="519"/>
      <c r="C71" s="519"/>
      <c r="D71" s="519"/>
      <c r="E71" s="519"/>
      <c r="F71" s="519"/>
      <c r="G71" s="519"/>
      <c r="H71" s="519"/>
      <c r="I71" s="519"/>
      <c r="J71" s="519"/>
      <c r="K71" s="519"/>
      <c r="L71" s="519"/>
      <c r="M71" s="519"/>
      <c r="N71" s="519"/>
      <c r="O71" s="640"/>
      <c r="P71" s="101"/>
      <c r="Q71" s="101"/>
    </row>
    <row r="72" spans="1:17" hidden="1" x14ac:dyDescent="0.2">
      <c r="A72" s="519"/>
      <c r="B72" s="519"/>
      <c r="C72" s="519"/>
      <c r="D72" s="519"/>
      <c r="E72" s="519"/>
      <c r="F72" s="519"/>
      <c r="G72" s="519"/>
      <c r="H72" s="519"/>
      <c r="I72" s="519"/>
      <c r="J72" s="519"/>
      <c r="K72" s="519"/>
      <c r="L72" s="519"/>
      <c r="M72" s="519"/>
      <c r="N72" s="519"/>
      <c r="O72" s="640"/>
      <c r="P72" s="101"/>
      <c r="Q72" s="101"/>
    </row>
    <row r="73" spans="1:17" hidden="1" x14ac:dyDescent="0.2">
      <c r="A73" s="519"/>
      <c r="B73" s="519"/>
      <c r="C73" s="519"/>
      <c r="D73" s="519"/>
      <c r="E73" s="519"/>
      <c r="F73" s="519"/>
      <c r="G73" s="519"/>
      <c r="H73" s="519"/>
      <c r="I73" s="519"/>
      <c r="J73" s="519"/>
      <c r="K73" s="519"/>
      <c r="L73" s="519"/>
      <c r="M73" s="518" t="s">
        <v>356</v>
      </c>
      <c r="N73" s="518" t="s">
        <v>968</v>
      </c>
      <c r="O73" s="640"/>
      <c r="P73" s="101"/>
      <c r="Q73" s="101"/>
    </row>
    <row r="74" spans="1:17" hidden="1" x14ac:dyDescent="0.2">
      <c r="A74" s="518"/>
      <c r="B74" s="518"/>
      <c r="C74" s="518"/>
      <c r="D74" s="518"/>
      <c r="E74" s="518"/>
      <c r="F74" s="518"/>
      <c r="G74" s="518"/>
      <c r="H74" s="518"/>
      <c r="I74" s="518"/>
      <c r="J74" s="518"/>
      <c r="K74" s="518"/>
      <c r="L74" s="518"/>
      <c r="M74" s="518" t="s">
        <v>372</v>
      </c>
      <c r="N74" s="1164" t="str">
        <f>IF(O29="Select","",O29)</f>
        <v/>
      </c>
      <c r="O74" s="640"/>
      <c r="P74" s="101"/>
      <c r="Q74" s="101"/>
    </row>
    <row r="75" spans="1:17" hidden="1" x14ac:dyDescent="0.2">
      <c r="A75" s="518"/>
      <c r="B75" s="518"/>
      <c r="C75" s="518"/>
      <c r="D75" s="518"/>
      <c r="E75" s="518"/>
      <c r="F75" s="518"/>
      <c r="G75" s="518"/>
      <c r="H75" s="518"/>
      <c r="I75" s="518"/>
      <c r="J75" s="518"/>
      <c r="K75" s="518"/>
      <c r="L75" s="518"/>
      <c r="M75" s="518" t="s">
        <v>373</v>
      </c>
      <c r="N75" s="1164" t="str">
        <f>IF(P29="Select","",P29)</f>
        <v/>
      </c>
      <c r="O75" s="640"/>
      <c r="P75" s="101"/>
      <c r="Q75" s="101"/>
    </row>
    <row r="76" spans="1:17" hidden="1" x14ac:dyDescent="0.2">
      <c r="A76" s="518"/>
      <c r="B76" s="518"/>
      <c r="C76" s="518"/>
      <c r="D76" s="518"/>
      <c r="E76" s="518"/>
      <c r="F76" s="518"/>
      <c r="G76" s="518"/>
      <c r="H76" s="518"/>
      <c r="I76" s="518"/>
      <c r="J76" s="518"/>
      <c r="K76" s="518"/>
      <c r="L76" s="518"/>
      <c r="M76" s="518" t="s">
        <v>404</v>
      </c>
      <c r="N76" s="1164" t="str">
        <f>IF(OR(O46="Yes",O47="Yes",O48="Yes",O49="Yes",O50="Yes",O51="Yes",O52="Yes",O53="Yes",), "Yes", "No")</f>
        <v>No</v>
      </c>
      <c r="O76" s="640"/>
      <c r="P76" s="101"/>
      <c r="Q76" s="101"/>
    </row>
    <row r="77" spans="1:17" hidden="1" x14ac:dyDescent="0.2">
      <c r="A77" s="518"/>
      <c r="B77" s="518"/>
      <c r="C77" s="518"/>
      <c r="D77" s="518"/>
      <c r="E77" s="518"/>
      <c r="F77" s="518"/>
      <c r="G77" s="518"/>
      <c r="H77" s="518"/>
      <c r="I77" s="518"/>
      <c r="J77" s="518"/>
      <c r="K77" s="518"/>
      <c r="L77" s="518"/>
      <c r="M77" s="518" t="s">
        <v>403</v>
      </c>
      <c r="N77" s="1164" t="str">
        <f>IF(OR(P46="Yes",P47="Yes",P48="Yes",P49="Yes",P50="Yes",P51="Yes",P52="Yes",P53="Yes",), "Yes", "No")</f>
        <v>No</v>
      </c>
      <c r="O77" s="640"/>
      <c r="P77" s="101"/>
      <c r="Q77" s="101"/>
    </row>
    <row r="78" spans="1:17" x14ac:dyDescent="0.2">
      <c r="A78" s="519"/>
      <c r="B78" s="519"/>
      <c r="C78" s="519"/>
      <c r="D78" s="519"/>
      <c r="E78" s="519"/>
      <c r="F78" s="519"/>
      <c r="G78" s="519"/>
      <c r="H78" s="519"/>
      <c r="I78" s="519"/>
      <c r="J78" s="519"/>
      <c r="K78" s="519"/>
      <c r="L78" s="519"/>
      <c r="M78" s="519"/>
      <c r="N78" s="519"/>
      <c r="O78" s="640"/>
      <c r="P78" s="101"/>
      <c r="Q78" s="101"/>
    </row>
    <row r="79" spans="1:17" x14ac:dyDescent="0.2">
      <c r="A79" s="519"/>
      <c r="B79" s="519"/>
      <c r="C79" s="519"/>
      <c r="D79" s="519"/>
      <c r="E79" s="519"/>
      <c r="F79" s="519"/>
      <c r="G79" s="519"/>
      <c r="H79" s="519"/>
      <c r="I79" s="519"/>
      <c r="J79" s="519"/>
      <c r="K79" s="519"/>
      <c r="L79" s="519"/>
      <c r="M79" s="519"/>
      <c r="N79" s="519"/>
      <c r="O79" s="640"/>
      <c r="P79" s="101"/>
      <c r="Q79" s="101"/>
    </row>
    <row r="80" spans="1:17" x14ac:dyDescent="0.2">
      <c r="A80" s="640"/>
      <c r="B80" s="640"/>
      <c r="C80" s="640"/>
      <c r="D80" s="640"/>
      <c r="E80" s="640"/>
      <c r="F80" s="640"/>
      <c r="G80" s="640"/>
      <c r="H80" s="640"/>
      <c r="I80" s="640"/>
      <c r="J80" s="640"/>
      <c r="K80" s="640"/>
      <c r="L80" s="640"/>
      <c r="M80" s="640"/>
      <c r="N80" s="640"/>
      <c r="O80" s="640"/>
      <c r="P80" s="101"/>
      <c r="Q80" s="101"/>
    </row>
    <row r="81" spans="1:17" x14ac:dyDescent="0.2">
      <c r="A81" s="640"/>
      <c r="B81" s="640"/>
      <c r="C81" s="640"/>
      <c r="D81" s="640"/>
      <c r="E81" s="640"/>
      <c r="F81" s="640"/>
      <c r="G81" s="640"/>
      <c r="H81" s="640"/>
      <c r="I81" s="640"/>
      <c r="J81" s="640"/>
      <c r="K81" s="640"/>
      <c r="L81" s="640"/>
      <c r="M81" s="640"/>
      <c r="N81" s="640"/>
      <c r="O81" s="640"/>
      <c r="P81" s="101"/>
      <c r="Q81" s="101"/>
    </row>
    <row r="82" spans="1:17" x14ac:dyDescent="0.2">
      <c r="A82" s="640"/>
      <c r="B82" s="640"/>
      <c r="C82" s="640"/>
      <c r="D82" s="640"/>
      <c r="E82" s="640"/>
      <c r="F82" s="640"/>
      <c r="G82" s="640"/>
      <c r="H82" s="640"/>
      <c r="I82" s="640"/>
      <c r="J82" s="640"/>
      <c r="K82" s="640"/>
      <c r="L82" s="640"/>
      <c r="M82" s="640"/>
      <c r="N82" s="640"/>
      <c r="O82" s="640"/>
      <c r="P82" s="101"/>
      <c r="Q82" s="101"/>
    </row>
    <row r="83" spans="1:17" x14ac:dyDescent="0.2">
      <c r="A83" s="640"/>
      <c r="B83" s="640"/>
      <c r="C83" s="640"/>
      <c r="D83" s="640"/>
      <c r="E83" s="640"/>
      <c r="F83" s="640"/>
      <c r="G83" s="640"/>
      <c r="H83" s="640"/>
      <c r="I83" s="640"/>
      <c r="J83" s="640"/>
      <c r="K83" s="640"/>
      <c r="L83" s="640"/>
      <c r="M83" s="640"/>
      <c r="N83" s="640"/>
      <c r="O83" s="640"/>
      <c r="P83" s="101"/>
      <c r="Q83" s="101"/>
    </row>
    <row r="84" spans="1:17" x14ac:dyDescent="0.2">
      <c r="A84" s="640"/>
      <c r="B84" s="640"/>
      <c r="C84" s="640"/>
      <c r="D84" s="640"/>
      <c r="E84" s="640"/>
      <c r="F84" s="640"/>
      <c r="G84" s="640"/>
      <c r="H84" s="640"/>
      <c r="I84" s="640"/>
      <c r="J84" s="640"/>
      <c r="K84" s="640"/>
      <c r="L84" s="640"/>
      <c r="M84" s="640"/>
      <c r="N84" s="640"/>
      <c r="O84" s="640"/>
      <c r="P84" s="101"/>
      <c r="Q84" s="101"/>
    </row>
    <row r="85" spans="1:17" x14ac:dyDescent="0.2">
      <c r="A85" s="640"/>
      <c r="B85" s="640"/>
      <c r="C85" s="640"/>
      <c r="D85" s="640"/>
      <c r="E85" s="640"/>
      <c r="F85" s="640"/>
      <c r="G85" s="640"/>
      <c r="H85" s="640"/>
      <c r="I85" s="640"/>
      <c r="J85" s="640"/>
      <c r="K85" s="640"/>
      <c r="L85" s="640"/>
      <c r="M85" s="640"/>
      <c r="N85" s="640"/>
      <c r="O85" s="640"/>
      <c r="P85" s="101"/>
      <c r="Q85" s="101"/>
    </row>
    <row r="86" spans="1:17" x14ac:dyDescent="0.2">
      <c r="M86" s="101"/>
      <c r="N86" s="101"/>
      <c r="O86" s="101"/>
      <c r="P86" s="101"/>
      <c r="Q86" s="101"/>
    </row>
    <row r="87" spans="1:17" x14ac:dyDescent="0.2">
      <c r="M87" s="101"/>
      <c r="N87" s="101"/>
      <c r="O87" s="101"/>
      <c r="P87" s="101"/>
      <c r="Q87" s="101"/>
    </row>
    <row r="88" spans="1:17" x14ac:dyDescent="0.2">
      <c r="M88" s="101"/>
      <c r="N88" s="101"/>
      <c r="O88" s="101"/>
      <c r="P88" s="101"/>
      <c r="Q88" s="101"/>
    </row>
    <row r="89" spans="1:17" x14ac:dyDescent="0.2">
      <c r="M89" s="101"/>
      <c r="N89" s="101"/>
      <c r="O89" s="101"/>
      <c r="P89" s="101"/>
      <c r="Q89" s="101"/>
    </row>
    <row r="90" spans="1:17" x14ac:dyDescent="0.2">
      <c r="M90" s="101"/>
      <c r="N90" s="101"/>
      <c r="O90" s="101"/>
      <c r="P90" s="101"/>
      <c r="Q90" s="101"/>
    </row>
    <row r="91" spans="1:17" x14ac:dyDescent="0.2">
      <c r="M91" s="101"/>
      <c r="N91" s="101"/>
      <c r="O91" s="101"/>
      <c r="P91" s="101"/>
      <c r="Q91" s="101"/>
    </row>
  </sheetData>
  <sheetProtection algorithmName="SHA-512" hashValue="pK0/cBGW2VmYEgYDr1BP75R0goYju2GmwaFT+xb87Q1AzjanCQSMRAUv4PdCcI5bPYphzxqPmoMNMHqtUvFsrw==" saltValue="7Kpt/hl257NUoy6iMS4puA==" spinCount="100000" sheet="1" objects="1" scenarios="1" formatColumns="0" formatRows="0" sort="0" autoFilter="0"/>
  <mergeCells count="73">
    <mergeCell ref="M56:W56"/>
    <mergeCell ref="M57:W57"/>
    <mergeCell ref="M50:N50"/>
    <mergeCell ref="Q50:W50"/>
    <mergeCell ref="M51:N51"/>
    <mergeCell ref="M52:N52"/>
    <mergeCell ref="M53:N53"/>
    <mergeCell ref="Q53:W53"/>
    <mergeCell ref="Q51:W51"/>
    <mergeCell ref="Q52:W52"/>
    <mergeCell ref="M47:N47"/>
    <mergeCell ref="Q47:W47"/>
    <mergeCell ref="M48:N48"/>
    <mergeCell ref="Q48:W48"/>
    <mergeCell ref="M49:N49"/>
    <mergeCell ref="Q49:W49"/>
    <mergeCell ref="M44:W44"/>
    <mergeCell ref="M45:N45"/>
    <mergeCell ref="Q45:W45"/>
    <mergeCell ref="M46:N46"/>
    <mergeCell ref="Q46:W46"/>
    <mergeCell ref="M39:N39"/>
    <mergeCell ref="R39:S39"/>
    <mergeCell ref="M41:N41"/>
    <mergeCell ref="R41:S41"/>
    <mergeCell ref="M42:N42"/>
    <mergeCell ref="R42:S42"/>
    <mergeCell ref="M40:N40"/>
    <mergeCell ref="R40:S40"/>
    <mergeCell ref="M36:N36"/>
    <mergeCell ref="R36:S36"/>
    <mergeCell ref="M37:N37"/>
    <mergeCell ref="R37:S37"/>
    <mergeCell ref="M38:N38"/>
    <mergeCell ref="R38:S38"/>
    <mergeCell ref="M32:W32"/>
    <mergeCell ref="M33:N33"/>
    <mergeCell ref="M34:N34"/>
    <mergeCell ref="R34:S34"/>
    <mergeCell ref="M35:N35"/>
    <mergeCell ref="R35:S35"/>
    <mergeCell ref="M19:W19"/>
    <mergeCell ref="M20:W20"/>
    <mergeCell ref="M25:W25"/>
    <mergeCell ref="Q28:W28"/>
    <mergeCell ref="Q29:W29"/>
    <mergeCell ref="M29:N29"/>
    <mergeCell ref="M17:N17"/>
    <mergeCell ref="Q17:W17"/>
    <mergeCell ref="M18:N18"/>
    <mergeCell ref="Q18:R18"/>
    <mergeCell ref="Q16:W16"/>
    <mergeCell ref="M14:N14"/>
    <mergeCell ref="Q14:W14"/>
    <mergeCell ref="M15:N15"/>
    <mergeCell ref="Q15:W15"/>
    <mergeCell ref="M16:N16"/>
    <mergeCell ref="M11:N11"/>
    <mergeCell ref="Q11:W11"/>
    <mergeCell ref="M12:N12"/>
    <mergeCell ref="Q12:W12"/>
    <mergeCell ref="M13:N13"/>
    <mergeCell ref="Q13:W13"/>
    <mergeCell ref="M9:N9"/>
    <mergeCell ref="Q9:W9"/>
    <mergeCell ref="M6:Q6"/>
    <mergeCell ref="M10:N10"/>
    <mergeCell ref="Q10:W10"/>
    <mergeCell ref="M1:W1"/>
    <mergeCell ref="M3:V3"/>
    <mergeCell ref="S5:W5"/>
    <mergeCell ref="S6:W6"/>
    <mergeCell ref="M8:W8"/>
  </mergeCells>
  <phoneticPr fontId="18" type="noConversion"/>
  <conditionalFormatting sqref="R37:S39 Q34:R34 R35:R36 W35:W41 O35:P41 O27:W27 T35:U41 R54 O54:P54 T54:U54 R40:R41">
    <cfRule type="cellIs" dxfId="125" priority="8" stopIfTrue="1" operator="lessThan">
      <formula>0</formula>
    </cfRule>
  </conditionalFormatting>
  <conditionalFormatting sqref="R37:S39 V34 Q34:R34 W35:W41 R35:R36 O27:Q27 T27:W27 T35:U41 R54 T54:U54 R40:R41">
    <cfRule type="cellIs" dxfId="124" priority="9" stopIfTrue="1" operator="lessThan">
      <formula>0</formula>
    </cfRule>
  </conditionalFormatting>
  <conditionalFormatting sqref="R42:R43 W42:W43 O42:P43 T42:U43">
    <cfRule type="cellIs" dxfId="123" priority="6" stopIfTrue="1" operator="lessThan">
      <formula>0</formula>
    </cfRule>
  </conditionalFormatting>
  <conditionalFormatting sqref="R42:R43 W42:W43 T42:U43">
    <cfRule type="cellIs" dxfId="122" priority="7" stopIfTrue="1" operator="lessThan">
      <formula>0</formula>
    </cfRule>
  </conditionalFormatting>
  <conditionalFormatting sqref="Q5">
    <cfRule type="cellIs" dxfId="121" priority="5" stopIfTrue="1" operator="lessThan">
      <formula>0</formula>
    </cfRule>
  </conditionalFormatting>
  <conditionalFormatting sqref="O18:P18">
    <cfRule type="cellIs" dxfId="120" priority="4" stopIfTrue="1" operator="lessThan">
      <formula>0</formula>
    </cfRule>
  </conditionalFormatting>
  <conditionalFormatting sqref="Q35:Q42">
    <cfRule type="cellIs" dxfId="119" priority="3" operator="greaterThan">
      <formula>0</formula>
    </cfRule>
  </conditionalFormatting>
  <conditionalFormatting sqref="V35">
    <cfRule type="cellIs" dxfId="118" priority="2" operator="greaterThan">
      <formula>0</formula>
    </cfRule>
  </conditionalFormatting>
  <conditionalFormatting sqref="V36:V42">
    <cfRule type="cellIs" dxfId="117" priority="1" operator="greaterThan">
      <formula>0</formula>
    </cfRule>
  </conditionalFormatting>
  <dataValidations count="8">
    <dataValidation type="list" allowBlank="1" showInputMessage="1" showErrorMessage="1" sqref="R55 R30:S30 O30 P29 R6 O46:P53 O10:P17">
      <formula1>"Select,Yes,No,N/A"</formula1>
    </dataValidation>
    <dataValidation type="list" allowBlank="1" showInputMessage="1" showErrorMessage="1" sqref="U33">
      <formula1>"Select,Yes,No,Partially,N/A"</formula1>
    </dataValidation>
    <dataValidation allowBlank="1" showInputMessage="1" sqref="R5"/>
    <dataValidation type="custom" allowBlank="1" showInputMessage="1" showErrorMessage="1" errorTitle="X-Author for Excel" error="Id and Lookup fields are not editable." promptTitle="X-Author for Excel" sqref="N73">
      <formula1>""</formula1>
    </dataValidation>
    <dataValidation type="list" allowBlank="1" showInputMessage="1" showErrorMessage="1" errorTitle="X-Author for Excel" error="Please select a value from the drop-down." promptTitle="X-Author for Excel" sqref="N77">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N75">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N74">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N76">
      <formula1>IF(IFERROR(ROWS(INDIRECT(SUBSTITUTE("AIM_Procurement__c.AIM_Stock_Out_Response_LFA__c"," ","_"))),-1) &lt; 0, XAuthorInvalidPicklistData,INDIRECT(SUBSTITUTE("AIM_Procurement__c.AIM_Stock_Out_Response_LFA__c"," ","_")))</formula1>
    </dataValidation>
  </dataValidations>
  <printOptions horizontalCentered="1" verticalCentered="1"/>
  <pageMargins left="0.23622047244094491" right="0.23622047244094491" top="0.74803149606299213" bottom="0.74803149606299213" header="0.31496062992125984" footer="0.31496062992125984"/>
  <pageSetup paperSize="9" scale="50" orientation="landscape" cellComments="asDisplayed" r:id="rId1"/>
  <headerFooter alignWithMargins="0">
    <oddFooter>&amp;L&amp;9&amp;A&amp;R&amp;9&amp;P</oddFooter>
  </headerFooter>
  <rowBreaks count="1" manualBreakCount="1">
    <brk id="21" min="8"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AI86"/>
  <sheetViews>
    <sheetView showGridLines="0" view="pageBreakPreview" topLeftCell="A14" zoomScale="80" zoomScaleNormal="50" zoomScaleSheetLayoutView="80" workbookViewId="0">
      <selection activeCell="E20" sqref="E20"/>
    </sheetView>
  </sheetViews>
  <sheetFormatPr defaultColWidth="9.140625" defaultRowHeight="12.75" outlineLevelRow="1" x14ac:dyDescent="0.2"/>
  <cols>
    <col min="1" max="1" width="0.42578125" style="101" customWidth="1"/>
    <col min="2" max="2" width="100.85546875" style="2" customWidth="1"/>
    <col min="3" max="3" width="23.140625" style="101" customWidth="1"/>
    <col min="4" max="4" width="28.5703125" style="2" customWidth="1"/>
    <col min="5" max="5" width="75.140625" style="2" customWidth="1"/>
    <col min="6" max="6" width="23.140625" style="101" customWidth="1"/>
    <col min="7" max="7" width="20.5703125" style="2" customWidth="1"/>
    <col min="8" max="8" width="92.85546875" style="2" customWidth="1"/>
    <col min="9" max="9" width="23.140625" style="101" hidden="1" customWidth="1"/>
    <col min="10" max="10" width="21.5703125" style="2" hidden="1" customWidth="1"/>
    <col min="11" max="11" width="92.140625" style="2" hidden="1" customWidth="1"/>
    <col min="12" max="12" width="9.140625" style="2" hidden="1" customWidth="1"/>
    <col min="13" max="13" width="0.140625" style="2" hidden="1" customWidth="1"/>
    <col min="14" max="14" width="5.85546875" style="500" hidden="1" customWidth="1"/>
    <col min="15" max="15" width="8.42578125" style="20" hidden="1" customWidth="1"/>
    <col min="16" max="16" width="0.42578125" style="20" customWidth="1"/>
    <col min="17" max="29" width="9.140625" style="20"/>
    <col min="30" max="30" width="0" style="20" hidden="1" customWidth="1"/>
    <col min="31" max="35" width="9.140625" style="20"/>
    <col min="36" max="16384" width="9.140625" style="2"/>
  </cols>
  <sheetData>
    <row r="1" spans="1:35" s="8" customFormat="1" ht="49.5" customHeight="1" x14ac:dyDescent="0.2">
      <c r="B1" s="1428" t="str">
        <f>IF(CoverSheet!J12="N/A","Progress Report","Progress Report with Disbursement Request")</f>
        <v>Progress Report with Disbursement Request</v>
      </c>
      <c r="C1" s="1428"/>
      <c r="D1" s="1428"/>
      <c r="E1" s="1428"/>
      <c r="F1" s="1428"/>
      <c r="G1" s="1428"/>
      <c r="H1" s="1428"/>
      <c r="I1" s="457"/>
      <c r="N1" s="388"/>
      <c r="O1" s="14"/>
      <c r="P1" s="14"/>
      <c r="Q1" s="14"/>
      <c r="R1" s="14"/>
      <c r="S1" s="14"/>
      <c r="T1" s="14"/>
      <c r="U1" s="14"/>
      <c r="V1" s="14"/>
      <c r="W1" s="14"/>
      <c r="X1" s="14"/>
      <c r="Y1" s="14"/>
      <c r="Z1" s="14"/>
      <c r="AA1" s="14"/>
      <c r="AB1" s="14"/>
      <c r="AC1" s="14"/>
      <c r="AD1" s="14"/>
      <c r="AE1" s="14"/>
      <c r="AF1" s="14"/>
      <c r="AG1" s="14"/>
      <c r="AH1" s="14"/>
      <c r="AI1" s="14"/>
    </row>
    <row r="2" spans="1:35" x14ac:dyDescent="0.2">
      <c r="B2" s="46"/>
      <c r="C2" s="46"/>
      <c r="D2" s="19"/>
      <c r="E2" s="19"/>
      <c r="F2" s="19"/>
      <c r="G2" s="19"/>
      <c r="H2" s="101"/>
      <c r="J2" s="101"/>
      <c r="K2" s="101"/>
    </row>
    <row r="3" spans="1:35" s="8" customFormat="1" ht="27" customHeight="1" x14ac:dyDescent="0.2">
      <c r="B3" s="458" t="s">
        <v>100</v>
      </c>
      <c r="C3" s="458"/>
      <c r="D3" s="458"/>
      <c r="E3" s="458"/>
      <c r="F3" s="458"/>
      <c r="G3" s="458"/>
      <c r="H3" s="458"/>
      <c r="I3" s="458"/>
      <c r="J3" s="139"/>
      <c r="K3" s="139"/>
      <c r="N3" s="388"/>
      <c r="O3" s="14"/>
      <c r="P3" s="14"/>
      <c r="Q3" s="14"/>
      <c r="R3" s="14"/>
      <c r="S3" s="14"/>
      <c r="T3" s="14"/>
      <c r="U3" s="14"/>
      <c r="V3" s="14"/>
      <c r="W3" s="14"/>
      <c r="X3" s="14"/>
      <c r="Y3" s="14"/>
      <c r="Z3" s="14"/>
      <c r="AA3" s="14"/>
      <c r="AB3" s="14"/>
      <c r="AC3" s="14"/>
      <c r="AD3" s="14"/>
      <c r="AE3" s="14"/>
      <c r="AF3" s="14"/>
      <c r="AG3" s="14"/>
      <c r="AH3" s="14"/>
      <c r="AI3" s="14"/>
    </row>
    <row r="4" spans="1:35" s="8" customFormat="1" ht="15.75" customHeight="1" x14ac:dyDescent="0.2">
      <c r="B4" s="47"/>
      <c r="C4" s="47"/>
      <c r="D4" s="47"/>
      <c r="E4" s="47"/>
      <c r="F4" s="47"/>
      <c r="G4" s="47"/>
      <c r="H4" s="48"/>
      <c r="I4" s="48"/>
      <c r="N4" s="388"/>
      <c r="O4" s="14"/>
      <c r="P4" s="14"/>
      <c r="Q4" s="14"/>
      <c r="R4" s="14"/>
      <c r="S4" s="14"/>
      <c r="T4" s="14"/>
      <c r="U4" s="14"/>
      <c r="V4" s="14"/>
      <c r="W4" s="14"/>
      <c r="X4" s="14"/>
      <c r="Y4" s="14"/>
      <c r="Z4" s="14"/>
      <c r="AA4" s="14"/>
      <c r="AB4" s="14"/>
      <c r="AC4" s="14"/>
      <c r="AD4" s="14"/>
      <c r="AE4" s="14"/>
      <c r="AF4" s="14"/>
      <c r="AG4" s="14"/>
      <c r="AH4" s="14"/>
      <c r="AI4" s="14"/>
    </row>
    <row r="5" spans="1:35" s="101" customFormat="1" ht="34.5" customHeight="1" x14ac:dyDescent="0.3">
      <c r="B5" s="334" t="s">
        <v>237</v>
      </c>
      <c r="C5" s="334"/>
      <c r="D5" s="140"/>
      <c r="E5" s="140"/>
      <c r="F5" s="140"/>
      <c r="G5" s="140"/>
      <c r="H5" s="140"/>
      <c r="I5" s="140"/>
      <c r="J5" s="140"/>
      <c r="K5" s="140"/>
      <c r="N5" s="500"/>
      <c r="O5" s="20"/>
      <c r="P5" s="20"/>
      <c r="Q5" s="20"/>
      <c r="R5" s="20"/>
      <c r="S5" s="20"/>
      <c r="T5" s="20"/>
      <c r="U5" s="20"/>
      <c r="V5" s="20"/>
      <c r="W5" s="20"/>
      <c r="X5" s="20"/>
      <c r="Y5" s="20"/>
      <c r="Z5" s="20"/>
      <c r="AA5" s="20"/>
      <c r="AB5" s="20"/>
      <c r="AC5" s="20"/>
      <c r="AD5" s="20"/>
      <c r="AE5" s="20"/>
      <c r="AF5" s="20"/>
      <c r="AG5" s="20"/>
      <c r="AH5" s="20"/>
      <c r="AI5" s="20"/>
    </row>
    <row r="6" spans="1:35" ht="15.75" thickBot="1" x14ac:dyDescent="0.25">
      <c r="B6" s="1649"/>
      <c r="C6" s="1649"/>
      <c r="D6" s="1649"/>
      <c r="E6" s="1649"/>
      <c r="F6" s="1649"/>
      <c r="G6" s="1649"/>
      <c r="H6" s="20"/>
      <c r="J6" s="101"/>
      <c r="K6" s="101"/>
    </row>
    <row r="7" spans="1:35" ht="66" customHeight="1" thickBot="1" x14ac:dyDescent="0.25">
      <c r="B7" s="1650" t="s">
        <v>245</v>
      </c>
      <c r="C7" s="1650"/>
      <c r="D7" s="1650"/>
      <c r="E7" s="1650"/>
      <c r="F7" s="464"/>
      <c r="G7" s="1638" t="s">
        <v>102</v>
      </c>
      <c r="H7" s="1639"/>
      <c r="I7" s="490"/>
      <c r="J7" s="1634" t="s">
        <v>101</v>
      </c>
      <c r="K7" s="1635"/>
      <c r="P7" s="389"/>
    </row>
    <row r="8" spans="1:35" s="101" customFormat="1" ht="2.4500000000000002" customHeight="1" thickBot="1" x14ac:dyDescent="0.25">
      <c r="B8" s="618"/>
      <c r="C8" s="618"/>
      <c r="D8" s="618"/>
      <c r="E8" s="618"/>
      <c r="F8" s="618"/>
      <c r="G8" s="610"/>
      <c r="H8" s="610"/>
      <c r="I8" s="617"/>
      <c r="J8" s="613"/>
      <c r="K8" s="613"/>
      <c r="N8" s="500"/>
      <c r="O8" s="20"/>
      <c r="P8" s="390"/>
      <c r="Q8" s="20"/>
      <c r="R8" s="20"/>
      <c r="S8" s="20"/>
      <c r="T8" s="20"/>
      <c r="U8" s="20"/>
      <c r="V8" s="20"/>
      <c r="W8" s="20"/>
      <c r="X8" s="20"/>
      <c r="Y8" s="20"/>
      <c r="Z8" s="20"/>
      <c r="AA8" s="20"/>
      <c r="AB8" s="20"/>
      <c r="AC8" s="20"/>
      <c r="AD8" s="20"/>
      <c r="AE8" s="20"/>
      <c r="AF8" s="20"/>
      <c r="AG8" s="20"/>
      <c r="AH8" s="20"/>
      <c r="AI8" s="20"/>
    </row>
    <row r="9" spans="1:35" s="8" customFormat="1" ht="40.5" customHeight="1" x14ac:dyDescent="0.2">
      <c r="A9" s="421"/>
      <c r="B9" s="521" t="s">
        <v>350</v>
      </c>
      <c r="C9" s="522"/>
      <c r="D9" s="521" t="s">
        <v>0</v>
      </c>
      <c r="E9" s="523" t="s">
        <v>57</v>
      </c>
      <c r="F9" s="524"/>
      <c r="G9" s="813" t="s">
        <v>0</v>
      </c>
      <c r="H9" s="813" t="s">
        <v>366</v>
      </c>
      <c r="I9" s="524"/>
      <c r="J9" s="525" t="s">
        <v>213</v>
      </c>
      <c r="K9" s="525" t="s">
        <v>211</v>
      </c>
      <c r="L9" s="526"/>
      <c r="M9" s="526"/>
      <c r="N9" s="527" t="s">
        <v>356</v>
      </c>
      <c r="O9" s="412"/>
      <c r="P9" s="520"/>
      <c r="Q9" s="14"/>
      <c r="R9" s="14"/>
      <c r="S9" s="550"/>
      <c r="T9" s="550"/>
      <c r="U9" s="14"/>
      <c r="V9" s="14"/>
      <c r="W9" s="14"/>
      <c r="X9" s="14"/>
      <c r="Y9" s="14"/>
      <c r="Z9" s="14"/>
      <c r="AA9" s="14"/>
      <c r="AB9" s="14"/>
      <c r="AC9" s="14"/>
      <c r="AD9" s="14"/>
      <c r="AE9" s="14"/>
      <c r="AF9" s="14"/>
      <c r="AG9" s="14"/>
      <c r="AH9" s="14"/>
      <c r="AI9" s="14"/>
    </row>
    <row r="10" spans="1:35" s="177" customFormat="1" ht="15.75" hidden="1" thickBot="1" x14ac:dyDescent="0.25">
      <c r="A10" s="454"/>
      <c r="B10" s="1192" t="s">
        <v>349</v>
      </c>
      <c r="C10" s="522"/>
      <c r="D10" s="1174" t="s">
        <v>351</v>
      </c>
      <c r="E10" s="1186" t="s">
        <v>352</v>
      </c>
      <c r="F10" s="524"/>
      <c r="G10" s="1174" t="s">
        <v>353</v>
      </c>
      <c r="H10" s="1248" t="s">
        <v>354</v>
      </c>
      <c r="I10" s="524"/>
      <c r="J10" s="528" t="str">
        <f>G10</f>
        <v>[Status (LFA)]</v>
      </c>
      <c r="K10" s="529"/>
      <c r="L10" s="530"/>
      <c r="M10" s="530"/>
      <c r="N10" s="531" t="s">
        <v>355</v>
      </c>
      <c r="O10" s="25"/>
      <c r="P10" s="520"/>
      <c r="Q10" s="22"/>
      <c r="R10" s="22"/>
      <c r="S10" s="22"/>
      <c r="T10" s="22"/>
      <c r="U10" s="22"/>
      <c r="V10" s="22"/>
      <c r="W10" s="22"/>
      <c r="X10" s="22"/>
      <c r="Y10" s="22"/>
      <c r="Z10" s="22"/>
      <c r="AA10" s="22"/>
      <c r="AB10" s="22"/>
      <c r="AC10" s="22"/>
      <c r="AD10" s="22"/>
      <c r="AE10" s="22"/>
      <c r="AF10" s="22"/>
      <c r="AG10" s="22"/>
      <c r="AH10" s="22"/>
      <c r="AI10" s="22"/>
    </row>
    <row r="11" spans="1:35" s="177" customFormat="1" ht="210" x14ac:dyDescent="0.2">
      <c r="A11" s="454"/>
      <c r="B11" s="1192" t="s">
        <v>1019</v>
      </c>
      <c r="C11" s="522"/>
      <c r="D11" s="1174" t="s">
        <v>409</v>
      </c>
      <c r="E11" s="1186" t="s">
        <v>1612</v>
      </c>
      <c r="F11" s="524"/>
      <c r="G11" s="1174"/>
      <c r="H11" s="1248"/>
      <c r="I11" s="524"/>
      <c r="J11" s="528">
        <f t="shared" ref="J11:J20" si="0">G11</f>
        <v>0</v>
      </c>
      <c r="K11" s="529"/>
      <c r="L11" s="530"/>
      <c r="M11" s="530"/>
      <c r="N11" s="531" t="s">
        <v>1020</v>
      </c>
      <c r="O11" s="22"/>
      <c r="P11" s="520"/>
      <c r="Q11" s="22"/>
      <c r="R11" s="22"/>
      <c r="S11" s="22"/>
      <c r="T11" s="22"/>
      <c r="U11" s="22"/>
      <c r="V11" s="22"/>
      <c r="W11" s="22"/>
      <c r="X11" s="22"/>
      <c r="Y11" s="22"/>
      <c r="Z11" s="22"/>
      <c r="AA11" s="22"/>
      <c r="AB11" s="22"/>
      <c r="AC11" s="22"/>
      <c r="AD11" s="22"/>
      <c r="AE11" s="22"/>
      <c r="AF11" s="22"/>
      <c r="AG11" s="22"/>
      <c r="AH11" s="22"/>
      <c r="AI11" s="22"/>
    </row>
    <row r="12" spans="1:35" s="177" customFormat="1" ht="60" x14ac:dyDescent="0.2">
      <c r="A12" s="454"/>
      <c r="B12" s="1192" t="s">
        <v>1021</v>
      </c>
      <c r="C12" s="522"/>
      <c r="D12" s="1174" t="s">
        <v>409</v>
      </c>
      <c r="E12" s="1186" t="s">
        <v>1612</v>
      </c>
      <c r="F12" s="524"/>
      <c r="G12" s="1174"/>
      <c r="H12" s="1248"/>
      <c r="I12" s="524"/>
      <c r="J12" s="528">
        <f t="shared" si="0"/>
        <v>0</v>
      </c>
      <c r="K12" s="529"/>
      <c r="L12" s="530"/>
      <c r="M12" s="530"/>
      <c r="N12" s="531" t="s">
        <v>1022</v>
      </c>
      <c r="O12" s="22"/>
      <c r="P12" s="520"/>
      <c r="Q12" s="22"/>
      <c r="R12" s="22"/>
      <c r="S12" s="22"/>
      <c r="T12" s="22"/>
      <c r="U12" s="22"/>
      <c r="V12" s="22"/>
      <c r="W12" s="22"/>
      <c r="X12" s="22"/>
      <c r="Y12" s="22"/>
      <c r="Z12" s="22"/>
      <c r="AA12" s="22"/>
      <c r="AB12" s="22"/>
      <c r="AC12" s="22"/>
      <c r="AD12" s="22"/>
      <c r="AE12" s="22"/>
      <c r="AF12" s="22"/>
      <c r="AG12" s="22"/>
      <c r="AH12" s="22"/>
      <c r="AI12" s="22"/>
    </row>
    <row r="13" spans="1:35" s="177" customFormat="1" ht="60" x14ac:dyDescent="0.2">
      <c r="A13" s="454"/>
      <c r="B13" s="1192" t="s">
        <v>1023</v>
      </c>
      <c r="C13" s="522"/>
      <c r="D13" s="1174" t="s">
        <v>409</v>
      </c>
      <c r="E13" s="1186" t="s">
        <v>1612</v>
      </c>
      <c r="F13" s="524"/>
      <c r="G13" s="1174"/>
      <c r="H13" s="1248"/>
      <c r="I13" s="524"/>
      <c r="J13" s="528">
        <f t="shared" si="0"/>
        <v>0</v>
      </c>
      <c r="K13" s="529"/>
      <c r="L13" s="530"/>
      <c r="M13" s="530"/>
      <c r="N13" s="531" t="s">
        <v>1024</v>
      </c>
      <c r="O13" s="22"/>
      <c r="P13" s="520"/>
      <c r="Q13" s="22"/>
      <c r="R13" s="22"/>
      <c r="S13" s="22"/>
      <c r="T13" s="22"/>
      <c r="U13" s="22"/>
      <c r="V13" s="22"/>
      <c r="W13" s="22"/>
      <c r="X13" s="22"/>
      <c r="Y13" s="22"/>
      <c r="Z13" s="22"/>
      <c r="AA13" s="22"/>
      <c r="AB13" s="22"/>
      <c r="AC13" s="22"/>
      <c r="AD13" s="22"/>
      <c r="AE13" s="22"/>
      <c r="AF13" s="22"/>
      <c r="AG13" s="22"/>
      <c r="AH13" s="22"/>
      <c r="AI13" s="22"/>
    </row>
    <row r="14" spans="1:35" s="177" customFormat="1" ht="75" x14ac:dyDescent="0.2">
      <c r="A14" s="454"/>
      <c r="B14" s="1192" t="s">
        <v>1025</v>
      </c>
      <c r="C14" s="522"/>
      <c r="D14" s="1174" t="s">
        <v>409</v>
      </c>
      <c r="E14" s="1186" t="s">
        <v>1613</v>
      </c>
      <c r="F14" s="524"/>
      <c r="G14" s="1174"/>
      <c r="H14" s="1248"/>
      <c r="I14" s="524"/>
      <c r="J14" s="528">
        <f t="shared" si="0"/>
        <v>0</v>
      </c>
      <c r="K14" s="529"/>
      <c r="L14" s="530"/>
      <c r="M14" s="530"/>
      <c r="N14" s="531" t="s">
        <v>1026</v>
      </c>
      <c r="O14" s="22"/>
      <c r="P14" s="520"/>
      <c r="Q14" s="22"/>
      <c r="R14" s="22"/>
      <c r="S14" s="22"/>
      <c r="T14" s="22"/>
      <c r="U14" s="22"/>
      <c r="V14" s="22"/>
      <c r="W14" s="22"/>
      <c r="X14" s="22"/>
      <c r="Y14" s="22"/>
      <c r="Z14" s="22"/>
      <c r="AA14" s="22"/>
      <c r="AB14" s="22"/>
      <c r="AC14" s="22"/>
      <c r="AD14" s="22"/>
      <c r="AE14" s="22"/>
      <c r="AF14" s="22"/>
      <c r="AG14" s="22"/>
      <c r="AH14" s="22"/>
      <c r="AI14" s="22"/>
    </row>
    <row r="15" spans="1:35" s="177" customFormat="1" ht="75" x14ac:dyDescent="0.2">
      <c r="A15" s="454"/>
      <c r="B15" s="1192" t="s">
        <v>1027</v>
      </c>
      <c r="C15" s="522"/>
      <c r="D15" s="1174" t="s">
        <v>409</v>
      </c>
      <c r="E15" s="1186" t="s">
        <v>1614</v>
      </c>
      <c r="F15" s="524"/>
      <c r="G15" s="1174"/>
      <c r="H15" s="1248"/>
      <c r="I15" s="524"/>
      <c r="J15" s="528">
        <f t="shared" si="0"/>
        <v>0</v>
      </c>
      <c r="K15" s="529"/>
      <c r="L15" s="530"/>
      <c r="M15" s="530"/>
      <c r="N15" s="531" t="s">
        <v>1028</v>
      </c>
      <c r="O15" s="22"/>
      <c r="P15" s="520"/>
      <c r="Q15" s="22"/>
      <c r="R15" s="22"/>
      <c r="S15" s="22"/>
      <c r="T15" s="22"/>
      <c r="U15" s="22"/>
      <c r="V15" s="22"/>
      <c r="W15" s="22"/>
      <c r="X15" s="22"/>
      <c r="Y15" s="22"/>
      <c r="Z15" s="22"/>
      <c r="AA15" s="22"/>
      <c r="AB15" s="22"/>
      <c r="AC15" s="22"/>
      <c r="AD15" s="22"/>
      <c r="AE15" s="22"/>
      <c r="AF15" s="22"/>
      <c r="AG15" s="22"/>
      <c r="AH15" s="22"/>
      <c r="AI15" s="22"/>
    </row>
    <row r="16" spans="1:35" s="177" customFormat="1" ht="30" x14ac:dyDescent="0.2">
      <c r="A16" s="454"/>
      <c r="B16" s="1192" t="s">
        <v>1029</v>
      </c>
      <c r="C16" s="522"/>
      <c r="D16" s="1174" t="s">
        <v>198</v>
      </c>
      <c r="E16" s="1186" t="s">
        <v>1615</v>
      </c>
      <c r="F16" s="524"/>
      <c r="G16" s="1174"/>
      <c r="H16" s="1248"/>
      <c r="I16" s="524"/>
      <c r="J16" s="528">
        <f t="shared" si="0"/>
        <v>0</v>
      </c>
      <c r="K16" s="529"/>
      <c r="L16" s="530"/>
      <c r="M16" s="530"/>
      <c r="N16" s="531" t="s">
        <v>1030</v>
      </c>
      <c r="O16" s="22"/>
      <c r="P16" s="520"/>
      <c r="Q16" s="22"/>
      <c r="R16" s="22"/>
      <c r="S16" s="22"/>
      <c r="T16" s="22"/>
      <c r="U16" s="22"/>
      <c r="V16" s="22"/>
      <c r="W16" s="22"/>
      <c r="X16" s="22"/>
      <c r="Y16" s="22"/>
      <c r="Z16" s="22"/>
      <c r="AA16" s="22"/>
      <c r="AB16" s="22"/>
      <c r="AC16" s="22"/>
      <c r="AD16" s="22"/>
      <c r="AE16" s="22"/>
      <c r="AF16" s="22"/>
      <c r="AG16" s="22"/>
      <c r="AH16" s="22"/>
      <c r="AI16" s="22"/>
    </row>
    <row r="17" spans="1:35" s="177" customFormat="1" ht="60" x14ac:dyDescent="0.2">
      <c r="A17" s="454"/>
      <c r="B17" s="1192" t="s">
        <v>1031</v>
      </c>
      <c r="C17" s="522"/>
      <c r="D17" s="1174" t="s">
        <v>409</v>
      </c>
      <c r="E17" s="1186" t="s">
        <v>1616</v>
      </c>
      <c r="F17" s="524"/>
      <c r="G17" s="1174"/>
      <c r="H17" s="1248"/>
      <c r="I17" s="524"/>
      <c r="J17" s="528">
        <f t="shared" si="0"/>
        <v>0</v>
      </c>
      <c r="K17" s="529"/>
      <c r="L17" s="530"/>
      <c r="M17" s="530"/>
      <c r="N17" s="531" t="s">
        <v>1032</v>
      </c>
      <c r="O17" s="22"/>
      <c r="P17" s="520"/>
      <c r="Q17" s="22"/>
      <c r="R17" s="22"/>
      <c r="S17" s="22"/>
      <c r="T17" s="22"/>
      <c r="U17" s="22"/>
      <c r="V17" s="22"/>
      <c r="W17" s="22"/>
      <c r="X17" s="22"/>
      <c r="Y17" s="22"/>
      <c r="Z17" s="22"/>
      <c r="AA17" s="22"/>
      <c r="AB17" s="22"/>
      <c r="AC17" s="22"/>
      <c r="AD17" s="22"/>
      <c r="AE17" s="22"/>
      <c r="AF17" s="22"/>
      <c r="AG17" s="22"/>
      <c r="AH17" s="22"/>
      <c r="AI17" s="22"/>
    </row>
    <row r="18" spans="1:35" s="177" customFormat="1" ht="105" x14ac:dyDescent="0.2">
      <c r="A18" s="454"/>
      <c r="B18" s="1192" t="s">
        <v>1033</v>
      </c>
      <c r="C18" s="522"/>
      <c r="D18" s="1174" t="s">
        <v>409</v>
      </c>
      <c r="E18" s="1186" t="s">
        <v>1617</v>
      </c>
      <c r="F18" s="524"/>
      <c r="G18" s="1174"/>
      <c r="H18" s="1248"/>
      <c r="I18" s="524"/>
      <c r="J18" s="528">
        <f t="shared" si="0"/>
        <v>0</v>
      </c>
      <c r="K18" s="529"/>
      <c r="L18" s="530"/>
      <c r="M18" s="530"/>
      <c r="N18" s="531" t="s">
        <v>1034</v>
      </c>
      <c r="O18" s="22"/>
      <c r="P18" s="520"/>
      <c r="Q18" s="22"/>
      <c r="R18" s="22"/>
      <c r="S18" s="22"/>
      <c r="T18" s="22"/>
      <c r="U18" s="22"/>
      <c r="V18" s="22"/>
      <c r="W18" s="22"/>
      <c r="X18" s="22"/>
      <c r="Y18" s="22"/>
      <c r="Z18" s="22"/>
      <c r="AA18" s="22"/>
      <c r="AB18" s="22"/>
      <c r="AC18" s="22"/>
      <c r="AD18" s="22"/>
      <c r="AE18" s="22"/>
      <c r="AF18" s="22"/>
      <c r="AG18" s="22"/>
      <c r="AH18" s="22"/>
      <c r="AI18" s="22"/>
    </row>
    <row r="19" spans="1:35" s="177" customFormat="1" ht="90" x14ac:dyDescent="0.2">
      <c r="A19" s="454"/>
      <c r="B19" s="1192" t="s">
        <v>1035</v>
      </c>
      <c r="C19" s="522"/>
      <c r="D19" s="1174" t="s">
        <v>409</v>
      </c>
      <c r="E19" s="1186" t="s">
        <v>1618</v>
      </c>
      <c r="F19" s="524"/>
      <c r="G19" s="1174"/>
      <c r="H19" s="1248"/>
      <c r="I19" s="524"/>
      <c r="J19" s="528">
        <f t="shared" si="0"/>
        <v>0</v>
      </c>
      <c r="K19" s="529"/>
      <c r="L19" s="530"/>
      <c r="M19" s="530"/>
      <c r="N19" s="531" t="s">
        <v>1036</v>
      </c>
      <c r="O19" s="22"/>
      <c r="P19" s="520"/>
      <c r="Q19" s="22"/>
      <c r="R19" s="22"/>
      <c r="S19" s="22"/>
      <c r="T19" s="22"/>
      <c r="U19" s="22"/>
      <c r="V19" s="22"/>
      <c r="W19" s="22"/>
      <c r="X19" s="22"/>
      <c r="Y19" s="22"/>
      <c r="Z19" s="22"/>
      <c r="AA19" s="22"/>
      <c r="AB19" s="22"/>
      <c r="AC19" s="22"/>
      <c r="AD19" s="22"/>
      <c r="AE19" s="22"/>
      <c r="AF19" s="22"/>
      <c r="AG19" s="22"/>
      <c r="AH19" s="22"/>
      <c r="AI19" s="22"/>
    </row>
    <row r="20" spans="1:35" s="177" customFormat="1" ht="75" x14ac:dyDescent="0.2">
      <c r="A20" s="454"/>
      <c r="B20" s="1192" t="s">
        <v>1037</v>
      </c>
      <c r="C20" s="522"/>
      <c r="D20" s="1174" t="s">
        <v>413</v>
      </c>
      <c r="E20" s="1186" t="s">
        <v>1715</v>
      </c>
      <c r="F20" s="524"/>
      <c r="G20" s="1174"/>
      <c r="H20" s="1248"/>
      <c r="I20" s="524"/>
      <c r="J20" s="528">
        <f t="shared" si="0"/>
        <v>0</v>
      </c>
      <c r="K20" s="529"/>
      <c r="L20" s="530"/>
      <c r="M20" s="530"/>
      <c r="N20" s="531" t="s">
        <v>1038</v>
      </c>
      <c r="O20" s="22"/>
      <c r="P20" s="520"/>
      <c r="Q20" s="22"/>
      <c r="R20" s="22"/>
      <c r="S20" s="22"/>
      <c r="T20" s="22"/>
      <c r="U20" s="22"/>
      <c r="V20" s="22"/>
      <c r="W20" s="22"/>
      <c r="X20" s="22"/>
      <c r="Y20" s="22"/>
      <c r="Z20" s="22"/>
      <c r="AA20" s="22"/>
      <c r="AB20" s="22"/>
      <c r="AC20" s="22"/>
      <c r="AD20" s="22"/>
      <c r="AE20" s="22"/>
      <c r="AF20" s="22"/>
      <c r="AG20" s="22"/>
      <c r="AH20" s="22"/>
      <c r="AI20" s="22"/>
    </row>
    <row r="21" spans="1:35" ht="15.75" hidden="1" outlineLevel="1" thickBot="1" x14ac:dyDescent="0.25">
      <c r="B21" s="897"/>
      <c r="C21" s="495"/>
      <c r="D21" s="1179" t="s">
        <v>351</v>
      </c>
      <c r="E21" s="1654"/>
      <c r="F21" s="1655"/>
      <c r="G21" s="1656"/>
      <c r="H21" s="461"/>
      <c r="I21" s="473"/>
      <c r="J21" s="20"/>
      <c r="K21" s="20"/>
      <c r="L21" s="449"/>
      <c r="M21" s="20"/>
      <c r="P21" s="449"/>
    </row>
    <row r="22" spans="1:35" ht="15.75" hidden="1" outlineLevel="1" thickBot="1" x14ac:dyDescent="0.25">
      <c r="B22" s="459"/>
      <c r="C22" s="494"/>
      <c r="D22" s="1179" t="s">
        <v>351</v>
      </c>
      <c r="E22" s="1651"/>
      <c r="F22" s="1652"/>
      <c r="G22" s="1653"/>
      <c r="H22" s="461"/>
      <c r="I22" s="473"/>
      <c r="J22" s="20"/>
      <c r="K22" s="20"/>
      <c r="L22" s="449"/>
      <c r="M22" s="20"/>
      <c r="P22" s="449"/>
    </row>
    <row r="23" spans="1:35" ht="15.75" hidden="1" outlineLevel="1" thickBot="1" x14ac:dyDescent="0.25">
      <c r="B23" s="459"/>
      <c r="C23" s="494"/>
      <c r="D23" s="1179" t="s">
        <v>351</v>
      </c>
      <c r="E23" s="1651"/>
      <c r="F23" s="1652"/>
      <c r="G23" s="1653"/>
      <c r="H23" s="459"/>
      <c r="I23" s="474"/>
      <c r="J23" s="20"/>
      <c r="K23" s="20"/>
      <c r="L23" s="449"/>
      <c r="M23" s="20"/>
      <c r="P23" s="449"/>
    </row>
    <row r="24" spans="1:35" ht="15.75" hidden="1" outlineLevel="1" thickBot="1" x14ac:dyDescent="0.25">
      <c r="B24" s="459"/>
      <c r="C24" s="494"/>
      <c r="D24" s="1179" t="s">
        <v>351</v>
      </c>
      <c r="E24" s="1651"/>
      <c r="F24" s="1652"/>
      <c r="G24" s="1653"/>
      <c r="H24" s="459"/>
      <c r="I24" s="474"/>
      <c r="J24" s="20"/>
      <c r="K24" s="20"/>
      <c r="L24" s="449"/>
      <c r="M24" s="20"/>
      <c r="P24" s="449"/>
    </row>
    <row r="25" spans="1:35" ht="15.75" hidden="1" outlineLevel="1" thickBot="1" x14ac:dyDescent="0.25">
      <c r="B25" s="459"/>
      <c r="C25" s="494"/>
      <c r="D25" s="1179" t="s">
        <v>351</v>
      </c>
      <c r="E25" s="1651"/>
      <c r="F25" s="1652"/>
      <c r="G25" s="1653"/>
      <c r="H25" s="459"/>
      <c r="I25" s="474"/>
      <c r="J25" s="20"/>
      <c r="K25" s="20"/>
      <c r="L25" s="449"/>
      <c r="M25" s="20"/>
      <c r="P25" s="449"/>
    </row>
    <row r="26" spans="1:35" s="122" customFormat="1" ht="15" hidden="1" thickBot="1" x14ac:dyDescent="0.25">
      <c r="B26" s="1646"/>
      <c r="C26" s="1647"/>
      <c r="D26" s="1648"/>
      <c r="E26" s="1647"/>
      <c r="F26" s="1647"/>
      <c r="G26" s="1648"/>
      <c r="H26" s="1647"/>
      <c r="I26" s="493"/>
      <c r="J26" s="450"/>
      <c r="K26" s="450"/>
      <c r="L26" s="451"/>
      <c r="M26" s="3"/>
      <c r="N26" s="502"/>
      <c r="O26" s="3"/>
      <c r="P26" s="514"/>
      <c r="Q26" s="3"/>
      <c r="R26" s="3"/>
      <c r="S26" s="3"/>
      <c r="T26" s="3"/>
      <c r="U26" s="3"/>
      <c r="V26" s="3"/>
      <c r="W26" s="3"/>
      <c r="X26" s="3"/>
      <c r="Y26" s="3"/>
      <c r="Z26" s="3"/>
      <c r="AA26" s="3"/>
      <c r="AB26" s="3"/>
      <c r="AC26" s="3"/>
      <c r="AD26" s="3"/>
      <c r="AE26" s="3"/>
      <c r="AF26" s="3"/>
      <c r="AG26" s="3"/>
      <c r="AH26" s="3"/>
      <c r="AI26" s="3"/>
    </row>
    <row r="27" spans="1:35" ht="14.25" hidden="1" outlineLevel="1" x14ac:dyDescent="0.2">
      <c r="B27" s="897"/>
      <c r="C27" s="495"/>
      <c r="D27" s="1180" t="s">
        <v>46</v>
      </c>
      <c r="E27" s="1654"/>
      <c r="F27" s="1655"/>
      <c r="G27" s="1656"/>
      <c r="H27" s="460"/>
      <c r="I27" s="474"/>
      <c r="J27" s="20"/>
      <c r="K27" s="20"/>
      <c r="L27" s="449"/>
      <c r="M27" s="20"/>
      <c r="P27" s="449"/>
    </row>
    <row r="28" spans="1:35" ht="14.25" hidden="1" outlineLevel="1" x14ac:dyDescent="0.2">
      <c r="B28" s="459"/>
      <c r="C28" s="494"/>
      <c r="D28" s="1181" t="s">
        <v>46</v>
      </c>
      <c r="E28" s="1651"/>
      <c r="F28" s="1652"/>
      <c r="G28" s="1653"/>
      <c r="H28" s="459"/>
      <c r="I28" s="474"/>
      <c r="J28" s="20"/>
      <c r="K28" s="20"/>
      <c r="L28" s="449"/>
      <c r="M28" s="20"/>
      <c r="P28" s="449"/>
    </row>
    <row r="29" spans="1:35" ht="15" hidden="1" outlineLevel="1" thickBot="1" x14ac:dyDescent="0.25">
      <c r="B29" s="462"/>
      <c r="C29" s="492"/>
      <c r="D29" s="1182" t="s">
        <v>46</v>
      </c>
      <c r="E29" s="1643"/>
      <c r="F29" s="1644"/>
      <c r="G29" s="1645"/>
      <c r="H29" s="462"/>
      <c r="I29" s="475"/>
      <c r="J29" s="123"/>
      <c r="K29" s="123"/>
      <c r="L29" s="453"/>
      <c r="M29" s="123"/>
      <c r="N29" s="515"/>
      <c r="O29" s="123"/>
      <c r="P29" s="453"/>
    </row>
    <row r="30" spans="1:35" s="50" customFormat="1" ht="14.25" hidden="1" x14ac:dyDescent="0.2">
      <c r="B30" s="49"/>
      <c r="C30" s="49"/>
      <c r="D30" s="1175"/>
      <c r="E30" s="49"/>
      <c r="F30" s="49"/>
      <c r="G30" s="1175"/>
      <c r="N30" s="456"/>
    </row>
    <row r="31" spans="1:35" s="101" customFormat="1" ht="34.5" customHeight="1" x14ac:dyDescent="0.2">
      <c r="A31" s="20"/>
      <c r="B31" s="1628" t="s">
        <v>182</v>
      </c>
      <c r="C31" s="1628"/>
      <c r="D31" s="1629"/>
      <c r="E31" s="1628"/>
      <c r="F31" s="1628"/>
      <c r="G31" s="1629"/>
      <c r="H31" s="140"/>
      <c r="I31" s="140"/>
      <c r="J31" s="140"/>
      <c r="K31" s="140"/>
      <c r="N31" s="500"/>
      <c r="O31" s="20"/>
      <c r="P31" s="20"/>
      <c r="Q31" s="20"/>
      <c r="R31" s="20"/>
      <c r="S31" s="20"/>
      <c r="T31" s="20"/>
      <c r="U31" s="20"/>
      <c r="V31" s="20"/>
      <c r="W31" s="20"/>
      <c r="X31" s="20"/>
      <c r="Y31" s="20"/>
      <c r="Z31" s="20"/>
      <c r="AA31" s="20"/>
      <c r="AB31" s="20"/>
      <c r="AC31" s="20"/>
      <c r="AD31" s="20"/>
      <c r="AE31" s="20"/>
      <c r="AF31" s="20"/>
      <c r="AG31" s="20"/>
      <c r="AH31" s="20"/>
      <c r="AI31" s="20"/>
    </row>
    <row r="32" spans="1:35" s="101" customFormat="1" ht="37.5" customHeight="1" thickBot="1" x14ac:dyDescent="0.25">
      <c r="A32" s="20"/>
      <c r="B32" s="1630" t="s">
        <v>184</v>
      </c>
      <c r="C32" s="1630"/>
      <c r="D32" s="1631"/>
      <c r="E32" s="1630"/>
      <c r="F32" s="1630"/>
      <c r="G32" s="1631"/>
      <c r="H32" s="1630"/>
      <c r="I32" s="463"/>
      <c r="N32" s="500"/>
      <c r="O32" s="20"/>
      <c r="P32" s="123"/>
      <c r="Q32" s="20"/>
      <c r="R32" s="20"/>
      <c r="S32" s="20"/>
      <c r="T32" s="20"/>
      <c r="U32" s="20"/>
      <c r="V32" s="20"/>
      <c r="W32" s="20"/>
      <c r="X32" s="20"/>
      <c r="Y32" s="20"/>
      <c r="Z32" s="20"/>
      <c r="AA32" s="20"/>
      <c r="AB32" s="20"/>
      <c r="AC32" s="20"/>
      <c r="AD32" s="20"/>
      <c r="AE32" s="20"/>
      <c r="AF32" s="20"/>
      <c r="AG32" s="20"/>
      <c r="AH32" s="20"/>
      <c r="AI32" s="20"/>
    </row>
    <row r="33" spans="1:35" s="101" customFormat="1" ht="43.35" customHeight="1" thickBot="1" x14ac:dyDescent="0.3">
      <c r="A33" s="20"/>
      <c r="B33" s="26"/>
      <c r="C33" s="26"/>
      <c r="D33" s="1183"/>
      <c r="E33" s="26"/>
      <c r="F33" s="26"/>
      <c r="G33" s="1632" t="s">
        <v>102</v>
      </c>
      <c r="H33" s="1633"/>
      <c r="I33" s="483"/>
      <c r="J33" s="1634" t="s">
        <v>101</v>
      </c>
      <c r="K33" s="1635"/>
      <c r="N33" s="500"/>
      <c r="O33" s="20"/>
      <c r="P33" s="520"/>
      <c r="Q33" s="20"/>
      <c r="R33" s="20"/>
      <c r="S33" s="20"/>
      <c r="T33" s="20"/>
      <c r="U33" s="20"/>
      <c r="V33" s="20"/>
      <c r="W33" s="20"/>
      <c r="X33" s="20"/>
      <c r="Y33" s="20"/>
      <c r="Z33" s="20"/>
      <c r="AA33" s="20"/>
      <c r="AB33" s="20"/>
      <c r="AC33" s="20"/>
      <c r="AD33" s="20"/>
      <c r="AE33" s="20"/>
      <c r="AF33" s="20"/>
      <c r="AG33" s="20"/>
      <c r="AH33" s="20"/>
      <c r="AI33" s="20"/>
    </row>
    <row r="34" spans="1:35" s="101" customFormat="1" ht="1.35" customHeight="1" thickBot="1" x14ac:dyDescent="0.3">
      <c r="A34" s="20"/>
      <c r="B34" s="619"/>
      <c r="C34" s="619"/>
      <c r="D34" s="1184"/>
      <c r="E34" s="619"/>
      <c r="F34" s="619"/>
      <c r="G34" s="1176"/>
      <c r="H34" s="959"/>
      <c r="I34" s="483"/>
      <c r="J34" s="611"/>
      <c r="K34" s="612"/>
      <c r="N34" s="500"/>
      <c r="O34" s="20"/>
      <c r="P34" s="520"/>
      <c r="Q34" s="20"/>
      <c r="R34" s="20"/>
      <c r="S34" s="20"/>
      <c r="T34" s="20"/>
      <c r="U34" s="20"/>
      <c r="V34" s="20"/>
      <c r="W34" s="20"/>
      <c r="X34" s="20"/>
      <c r="Y34" s="20"/>
      <c r="Z34" s="20"/>
      <c r="AA34" s="20"/>
      <c r="AB34" s="20"/>
      <c r="AC34" s="20"/>
      <c r="AD34" s="20"/>
      <c r="AE34" s="20"/>
      <c r="AF34" s="20"/>
      <c r="AG34" s="20"/>
      <c r="AH34" s="20"/>
      <c r="AI34" s="20"/>
    </row>
    <row r="35" spans="1:35" s="101" customFormat="1" ht="40.5" customHeight="1" thickBot="1" x14ac:dyDescent="0.25">
      <c r="A35" s="454"/>
      <c r="B35" s="552" t="s">
        <v>396</v>
      </c>
      <c r="C35" s="522"/>
      <c r="D35" s="1185" t="s">
        <v>0</v>
      </c>
      <c r="E35" s="552" t="s">
        <v>57</v>
      </c>
      <c r="F35" s="524"/>
      <c r="G35" s="1177" t="s">
        <v>0</v>
      </c>
      <c r="H35" s="554" t="s">
        <v>397</v>
      </c>
      <c r="I35" s="483"/>
      <c r="J35" s="476" t="s">
        <v>213</v>
      </c>
      <c r="K35" s="477" t="s">
        <v>212</v>
      </c>
      <c r="L35" s="532"/>
      <c r="M35" s="532"/>
      <c r="N35" s="533" t="s">
        <v>356</v>
      </c>
      <c r="O35" s="532"/>
      <c r="P35" s="520"/>
      <c r="Q35" s="20"/>
      <c r="R35" s="20"/>
      <c r="S35" s="20"/>
      <c r="T35" s="550"/>
      <c r="U35" s="550"/>
      <c r="V35" s="664"/>
      <c r="W35" s="664"/>
      <c r="X35" s="664"/>
      <c r="Y35" s="664"/>
      <c r="Z35" s="664"/>
      <c r="AA35" s="664"/>
      <c r="AB35" s="664"/>
      <c r="AC35" s="664"/>
      <c r="AD35" s="664"/>
      <c r="AE35" s="664"/>
      <c r="AF35" s="664"/>
      <c r="AG35" s="664"/>
      <c r="AH35" s="664"/>
      <c r="AI35" s="664"/>
    </row>
    <row r="36" spans="1:35" s="177" customFormat="1" ht="19.350000000000001" hidden="1" customHeight="1" x14ac:dyDescent="0.2">
      <c r="A36" s="454"/>
      <c r="B36" s="926" t="s">
        <v>374</v>
      </c>
      <c r="C36" s="522"/>
      <c r="D36" s="1174" t="s">
        <v>351</v>
      </c>
      <c r="E36" s="528" t="s">
        <v>352</v>
      </c>
      <c r="F36" s="524"/>
      <c r="G36" s="1174" t="s">
        <v>353</v>
      </c>
      <c r="H36" s="528" t="s">
        <v>375</v>
      </c>
      <c r="I36" s="484"/>
      <c r="J36" s="478" t="str">
        <f>G36</f>
        <v>[Status (LFA)]</v>
      </c>
      <c r="K36" s="479"/>
      <c r="L36" s="22"/>
      <c r="M36" s="22"/>
      <c r="N36" s="501" t="s">
        <v>355</v>
      </c>
      <c r="O36" s="22"/>
      <c r="P36" s="520"/>
      <c r="Q36" s="22"/>
      <c r="R36" s="22"/>
      <c r="S36" s="22"/>
      <c r="T36" s="649"/>
      <c r="U36" s="649"/>
      <c r="V36" s="665"/>
      <c r="W36" s="665"/>
      <c r="X36" s="665"/>
      <c r="Y36" s="665"/>
      <c r="Z36" s="665"/>
      <c r="AA36" s="665"/>
      <c r="AB36" s="665"/>
      <c r="AC36" s="665"/>
      <c r="AD36" s="665"/>
      <c r="AE36" s="665"/>
      <c r="AF36" s="665"/>
      <c r="AG36" s="665"/>
      <c r="AH36" s="665"/>
      <c r="AI36" s="665"/>
    </row>
    <row r="37" spans="1:35" s="177" customFormat="1" ht="19.350000000000001" customHeight="1" x14ac:dyDescent="0.2">
      <c r="A37" s="454"/>
      <c r="B37" s="927"/>
      <c r="C37" s="522"/>
      <c r="D37" s="1178"/>
      <c r="E37" s="925"/>
      <c r="F37" s="524"/>
      <c r="G37" s="1178"/>
      <c r="H37" s="925"/>
      <c r="I37" s="484"/>
      <c r="J37" s="649"/>
      <c r="K37" s="650"/>
      <c r="L37" s="22"/>
      <c r="M37" s="22"/>
      <c r="N37" s="501"/>
      <c r="O37" s="22"/>
      <c r="P37" s="520"/>
      <c r="Q37" s="22"/>
      <c r="R37" s="22"/>
      <c r="S37" s="22"/>
      <c r="T37" s="665"/>
      <c r="U37" s="665"/>
      <c r="V37" s="665"/>
      <c r="W37" s="665"/>
      <c r="X37" s="665"/>
      <c r="Y37" s="665"/>
      <c r="Z37" s="665"/>
      <c r="AA37" s="665"/>
      <c r="AB37" s="665"/>
      <c r="AC37" s="665"/>
      <c r="AD37" s="665"/>
      <c r="AE37" s="665"/>
      <c r="AF37" s="665"/>
      <c r="AG37" s="665"/>
      <c r="AH37" s="665"/>
      <c r="AI37" s="665"/>
    </row>
    <row r="38" spans="1:35" s="177" customFormat="1" ht="19.350000000000001" customHeight="1" x14ac:dyDescent="0.2">
      <c r="A38" s="454"/>
      <c r="B38" s="927"/>
      <c r="C38" s="522"/>
      <c r="D38" s="1178"/>
      <c r="E38" s="925"/>
      <c r="F38" s="524"/>
      <c r="G38" s="1178"/>
      <c r="H38" s="925"/>
      <c r="I38" s="484"/>
      <c r="J38" s="649"/>
      <c r="K38" s="650"/>
      <c r="L38" s="22"/>
      <c r="M38" s="22"/>
      <c r="N38" s="501"/>
      <c r="O38" s="22"/>
      <c r="P38" s="520"/>
      <c r="Q38" s="22"/>
      <c r="R38" s="22"/>
      <c r="S38" s="22"/>
      <c r="T38" s="665"/>
      <c r="U38" s="665"/>
      <c r="V38" s="665"/>
      <c r="W38" s="665"/>
      <c r="X38" s="665"/>
      <c r="Y38" s="665"/>
      <c r="Z38" s="665"/>
      <c r="AA38" s="665"/>
      <c r="AB38" s="665"/>
      <c r="AC38" s="665"/>
      <c r="AD38" s="665"/>
      <c r="AE38" s="665"/>
      <c r="AF38" s="665"/>
      <c r="AG38" s="665"/>
      <c r="AH38" s="665"/>
      <c r="AI38" s="665"/>
    </row>
    <row r="39" spans="1:35" s="177" customFormat="1" ht="19.350000000000001" customHeight="1" x14ac:dyDescent="0.2">
      <c r="A39" s="454"/>
      <c r="B39" s="927"/>
      <c r="C39" s="522"/>
      <c r="D39" s="1178"/>
      <c r="E39" s="925"/>
      <c r="F39" s="524"/>
      <c r="G39" s="1178"/>
      <c r="H39" s="925"/>
      <c r="I39" s="484"/>
      <c r="J39" s="649"/>
      <c r="K39" s="650"/>
      <c r="L39" s="22"/>
      <c r="M39" s="22"/>
      <c r="N39" s="501"/>
      <c r="O39" s="22"/>
      <c r="P39" s="520"/>
      <c r="Q39" s="22"/>
      <c r="R39" s="22"/>
      <c r="S39" s="22"/>
      <c r="T39" s="665"/>
      <c r="U39" s="665"/>
      <c r="V39" s="665"/>
      <c r="W39" s="665"/>
      <c r="X39" s="665"/>
      <c r="Y39" s="665"/>
      <c r="Z39" s="665"/>
      <c r="AA39" s="665"/>
      <c r="AB39" s="665"/>
      <c r="AC39" s="665"/>
      <c r="AD39" s="665"/>
      <c r="AE39" s="665"/>
      <c r="AF39" s="665"/>
      <c r="AG39" s="665"/>
      <c r="AH39" s="665"/>
      <c r="AI39" s="665"/>
    </row>
    <row r="40" spans="1:35" s="177" customFormat="1" ht="19.350000000000001" customHeight="1" x14ac:dyDescent="0.2">
      <c r="A40" s="454"/>
      <c r="B40" s="927"/>
      <c r="C40" s="522"/>
      <c r="D40" s="1178"/>
      <c r="E40" s="925"/>
      <c r="F40" s="524"/>
      <c r="G40" s="1178"/>
      <c r="H40" s="925"/>
      <c r="I40" s="484"/>
      <c r="J40" s="649"/>
      <c r="K40" s="650"/>
      <c r="L40" s="22"/>
      <c r="M40" s="22"/>
      <c r="N40" s="501"/>
      <c r="O40" s="22"/>
      <c r="P40" s="520"/>
      <c r="Q40" s="22"/>
      <c r="R40" s="22"/>
      <c r="S40" s="22"/>
      <c r="T40" s="665"/>
      <c r="U40" s="665"/>
      <c r="V40" s="665"/>
      <c r="W40" s="665"/>
      <c r="X40" s="665"/>
      <c r="Y40" s="665"/>
      <c r="Z40" s="665"/>
      <c r="AA40" s="665"/>
      <c r="AB40" s="665"/>
      <c r="AC40" s="665"/>
      <c r="AD40" s="665"/>
      <c r="AE40" s="665"/>
      <c r="AF40" s="665"/>
      <c r="AG40" s="665"/>
      <c r="AH40" s="665"/>
      <c r="AI40" s="665"/>
    </row>
    <row r="41" spans="1:35" s="177" customFormat="1" ht="19.350000000000001" customHeight="1" x14ac:dyDescent="0.2">
      <c r="A41" s="454"/>
      <c r="B41" s="927"/>
      <c r="C41" s="522"/>
      <c r="D41" s="1178"/>
      <c r="E41" s="925"/>
      <c r="F41" s="524"/>
      <c r="G41" s="1178"/>
      <c r="H41" s="925"/>
      <c r="I41" s="484"/>
      <c r="J41" s="649"/>
      <c r="K41" s="650"/>
      <c r="L41" s="22"/>
      <c r="M41" s="22"/>
      <c r="N41" s="501"/>
      <c r="O41" s="22"/>
      <c r="P41" s="520"/>
      <c r="Q41" s="22"/>
      <c r="R41" s="22"/>
      <c r="S41" s="22"/>
      <c r="T41" s="665"/>
      <c r="U41" s="665"/>
      <c r="V41" s="665"/>
      <c r="W41" s="665"/>
      <c r="X41" s="665"/>
      <c r="Y41" s="665"/>
      <c r="Z41" s="665"/>
      <c r="AA41" s="665"/>
      <c r="AB41" s="665"/>
      <c r="AC41" s="665"/>
      <c r="AD41" s="665"/>
      <c r="AE41" s="665"/>
      <c r="AF41" s="665"/>
      <c r="AG41" s="665"/>
      <c r="AH41" s="665"/>
      <c r="AI41" s="665"/>
    </row>
    <row r="42" spans="1:35" s="177" customFormat="1" ht="19.350000000000001" customHeight="1" x14ac:dyDescent="0.2">
      <c r="A42" s="454"/>
      <c r="B42" s="927"/>
      <c r="C42" s="522"/>
      <c r="D42" s="1178"/>
      <c r="E42" s="925"/>
      <c r="F42" s="524"/>
      <c r="G42" s="1178"/>
      <c r="H42" s="925"/>
      <c r="I42" s="484"/>
      <c r="J42" s="649"/>
      <c r="K42" s="650"/>
      <c r="L42" s="22"/>
      <c r="M42" s="22"/>
      <c r="N42" s="501"/>
      <c r="O42" s="22"/>
      <c r="P42" s="520"/>
      <c r="Q42" s="22"/>
      <c r="R42" s="22"/>
      <c r="S42" s="22"/>
      <c r="T42" s="665"/>
      <c r="U42" s="665"/>
      <c r="V42" s="665"/>
      <c r="W42" s="665"/>
      <c r="X42" s="665"/>
      <c r="Y42" s="665"/>
      <c r="Z42" s="665"/>
      <c r="AA42" s="665"/>
      <c r="AB42" s="665"/>
      <c r="AC42" s="665"/>
      <c r="AD42" s="665"/>
      <c r="AE42" s="665"/>
      <c r="AF42" s="665"/>
      <c r="AG42" s="665"/>
      <c r="AH42" s="665"/>
      <c r="AI42" s="665"/>
    </row>
    <row r="43" spans="1:35" s="177" customFormat="1" ht="19.350000000000001" customHeight="1" x14ac:dyDescent="0.2">
      <c r="A43" s="454"/>
      <c r="B43" s="927"/>
      <c r="C43" s="522"/>
      <c r="D43" s="1178"/>
      <c r="E43" s="925"/>
      <c r="F43" s="524"/>
      <c r="G43" s="1178"/>
      <c r="H43" s="925"/>
      <c r="I43" s="484"/>
      <c r="J43" s="649"/>
      <c r="K43" s="650"/>
      <c r="L43" s="22"/>
      <c r="M43" s="22"/>
      <c r="N43" s="501"/>
      <c r="O43" s="22"/>
      <c r="P43" s="520"/>
      <c r="Q43" s="22"/>
      <c r="R43" s="22"/>
      <c r="S43" s="22"/>
      <c r="T43" s="665"/>
      <c r="U43" s="665"/>
      <c r="V43" s="665"/>
      <c r="W43" s="665"/>
      <c r="X43" s="665"/>
      <c r="Y43" s="665"/>
      <c r="Z43" s="665"/>
      <c r="AA43" s="665"/>
      <c r="AB43" s="665"/>
      <c r="AC43" s="665"/>
      <c r="AD43" s="665"/>
      <c r="AE43" s="665"/>
      <c r="AF43" s="665"/>
      <c r="AG43" s="665"/>
      <c r="AH43" s="665"/>
      <c r="AI43" s="665"/>
    </row>
    <row r="44" spans="1:35" s="177" customFormat="1" ht="19.350000000000001" customHeight="1" x14ac:dyDescent="0.2">
      <c r="A44" s="454"/>
      <c r="B44" s="927"/>
      <c r="C44" s="522"/>
      <c r="D44" s="1178"/>
      <c r="E44" s="925"/>
      <c r="F44" s="524"/>
      <c r="G44" s="1178"/>
      <c r="H44" s="925"/>
      <c r="I44" s="484"/>
      <c r="J44" s="649"/>
      <c r="K44" s="650"/>
      <c r="L44" s="22"/>
      <c r="M44" s="22"/>
      <c r="N44" s="501"/>
      <c r="O44" s="22"/>
      <c r="P44" s="520"/>
      <c r="Q44" s="22"/>
      <c r="R44" s="22"/>
      <c r="S44" s="22"/>
      <c r="T44" s="665"/>
      <c r="U44" s="665"/>
      <c r="V44" s="665"/>
      <c r="W44" s="665"/>
      <c r="X44" s="665"/>
      <c r="Y44" s="665"/>
      <c r="Z44" s="665"/>
      <c r="AA44" s="665"/>
      <c r="AB44" s="665"/>
      <c r="AC44" s="665"/>
      <c r="AD44" s="665"/>
      <c r="AE44" s="665"/>
      <c r="AF44" s="665"/>
      <c r="AG44" s="665"/>
      <c r="AH44" s="665"/>
      <c r="AI44" s="665"/>
    </row>
    <row r="45" spans="1:35" s="177" customFormat="1" ht="19.350000000000001" customHeight="1" x14ac:dyDescent="0.2">
      <c r="A45" s="454"/>
      <c r="B45" s="927"/>
      <c r="C45" s="522"/>
      <c r="D45" s="1178"/>
      <c r="E45" s="925"/>
      <c r="F45" s="524"/>
      <c r="G45" s="1178"/>
      <c r="H45" s="925"/>
      <c r="I45" s="484"/>
      <c r="J45" s="649"/>
      <c r="K45" s="650"/>
      <c r="L45" s="22"/>
      <c r="M45" s="22"/>
      <c r="N45" s="501"/>
      <c r="O45" s="22"/>
      <c r="P45" s="520"/>
      <c r="Q45" s="22"/>
      <c r="R45" s="22"/>
      <c r="S45" s="22"/>
      <c r="T45" s="665"/>
      <c r="U45" s="665"/>
      <c r="V45" s="665"/>
      <c r="W45" s="665"/>
      <c r="X45" s="665"/>
      <c r="Y45" s="665"/>
      <c r="Z45" s="665"/>
      <c r="AA45" s="665"/>
      <c r="AB45" s="665"/>
      <c r="AC45" s="665"/>
      <c r="AD45" s="665"/>
      <c r="AE45" s="665"/>
      <c r="AF45" s="665"/>
      <c r="AG45" s="665"/>
      <c r="AH45" s="665"/>
      <c r="AI45" s="665"/>
    </row>
    <row r="46" spans="1:35" s="177" customFormat="1" ht="19.350000000000001" customHeight="1" x14ac:dyDescent="0.2">
      <c r="A46" s="454"/>
      <c r="B46" s="927"/>
      <c r="C46" s="522"/>
      <c r="D46" s="1178"/>
      <c r="E46" s="925"/>
      <c r="F46" s="524"/>
      <c r="G46" s="1178"/>
      <c r="H46" s="925"/>
      <c r="I46" s="484"/>
      <c r="J46" s="649"/>
      <c r="K46" s="650"/>
      <c r="L46" s="22"/>
      <c r="M46" s="22"/>
      <c r="N46" s="501"/>
      <c r="O46" s="22"/>
      <c r="P46" s="520"/>
      <c r="Q46" s="22"/>
      <c r="R46" s="22"/>
      <c r="S46" s="22"/>
      <c r="T46" s="665"/>
      <c r="U46" s="665"/>
      <c r="V46" s="665"/>
      <c r="W46" s="665"/>
      <c r="X46" s="665"/>
      <c r="Y46" s="665"/>
      <c r="Z46" s="665"/>
      <c r="AA46" s="665"/>
      <c r="AB46" s="665"/>
      <c r="AC46" s="665"/>
      <c r="AD46" s="665"/>
      <c r="AE46" s="665"/>
      <c r="AF46" s="665"/>
      <c r="AG46" s="665"/>
      <c r="AH46" s="665"/>
      <c r="AI46" s="665"/>
    </row>
    <row r="47" spans="1:35" s="177" customFormat="1" ht="19.350000000000001" customHeight="1" x14ac:dyDescent="0.2">
      <c r="A47" s="454"/>
      <c r="B47" s="927"/>
      <c r="C47" s="522"/>
      <c r="D47" s="1178"/>
      <c r="E47" s="925"/>
      <c r="F47" s="524"/>
      <c r="G47" s="1178"/>
      <c r="H47" s="925"/>
      <c r="I47" s="484"/>
      <c r="J47" s="649"/>
      <c r="K47" s="650"/>
      <c r="L47" s="22"/>
      <c r="M47" s="22"/>
      <c r="N47" s="501"/>
      <c r="O47" s="22"/>
      <c r="P47" s="520"/>
      <c r="Q47" s="22"/>
      <c r="R47" s="22"/>
      <c r="S47" s="22"/>
      <c r="T47" s="665"/>
      <c r="U47" s="665"/>
      <c r="V47" s="665"/>
      <c r="W47" s="665"/>
      <c r="X47" s="665"/>
      <c r="Y47" s="665"/>
      <c r="Z47" s="665"/>
      <c r="AA47" s="665"/>
      <c r="AB47" s="665"/>
      <c r="AC47" s="665"/>
      <c r="AD47" s="665"/>
      <c r="AE47" s="665"/>
      <c r="AF47" s="665"/>
      <c r="AG47" s="665"/>
      <c r="AH47" s="665"/>
      <c r="AI47" s="665"/>
    </row>
    <row r="48" spans="1:35" s="177" customFormat="1" ht="19.350000000000001" customHeight="1" x14ac:dyDescent="0.2">
      <c r="A48" s="454"/>
      <c r="B48" s="927"/>
      <c r="C48" s="522"/>
      <c r="D48" s="1178"/>
      <c r="E48" s="925"/>
      <c r="F48" s="524"/>
      <c r="G48" s="1178"/>
      <c r="H48" s="925"/>
      <c r="I48" s="484"/>
      <c r="J48" s="649"/>
      <c r="K48" s="650"/>
      <c r="L48" s="22"/>
      <c r="M48" s="22"/>
      <c r="N48" s="501"/>
      <c r="O48" s="22"/>
      <c r="P48" s="520"/>
      <c r="Q48" s="22"/>
      <c r="R48" s="22"/>
      <c r="S48" s="22"/>
      <c r="T48" s="665"/>
      <c r="U48" s="665"/>
      <c r="V48" s="665"/>
      <c r="W48" s="665"/>
      <c r="X48" s="665"/>
      <c r="Y48" s="665"/>
      <c r="Z48" s="665"/>
      <c r="AA48" s="665"/>
      <c r="AB48" s="665"/>
      <c r="AC48" s="665"/>
      <c r="AD48" s="665"/>
      <c r="AE48" s="665"/>
      <c r="AF48" s="665"/>
      <c r="AG48" s="665"/>
      <c r="AH48" s="665"/>
      <c r="AI48" s="665"/>
    </row>
    <row r="49" spans="1:35" s="177" customFormat="1" ht="19.350000000000001" customHeight="1" x14ac:dyDescent="0.2">
      <c r="A49" s="454"/>
      <c r="B49" s="927"/>
      <c r="C49" s="522"/>
      <c r="D49" s="1178"/>
      <c r="E49" s="925"/>
      <c r="F49" s="524"/>
      <c r="G49" s="1178"/>
      <c r="H49" s="925"/>
      <c r="I49" s="484"/>
      <c r="J49" s="649"/>
      <c r="K49" s="650"/>
      <c r="L49" s="22"/>
      <c r="M49" s="22"/>
      <c r="N49" s="501"/>
      <c r="O49" s="22"/>
      <c r="P49" s="520"/>
      <c r="Q49" s="22"/>
      <c r="R49" s="22"/>
      <c r="S49" s="22"/>
      <c r="T49" s="665"/>
      <c r="U49" s="665"/>
      <c r="V49" s="665"/>
      <c r="W49" s="665"/>
      <c r="X49" s="665"/>
      <c r="Y49" s="665"/>
      <c r="Z49" s="665"/>
      <c r="AA49" s="665"/>
      <c r="AB49" s="665"/>
      <c r="AC49" s="665"/>
      <c r="AD49" s="665"/>
      <c r="AE49" s="665"/>
      <c r="AF49" s="665"/>
      <c r="AG49" s="665"/>
      <c r="AH49" s="665"/>
      <c r="AI49" s="665"/>
    </row>
    <row r="50" spans="1:35" s="177" customFormat="1" ht="19.350000000000001" customHeight="1" x14ac:dyDescent="0.2">
      <c r="A50" s="454"/>
      <c r="B50" s="927"/>
      <c r="C50" s="522"/>
      <c r="D50" s="1178"/>
      <c r="E50" s="925"/>
      <c r="F50" s="524"/>
      <c r="G50" s="1178"/>
      <c r="H50" s="925"/>
      <c r="I50" s="484"/>
      <c r="J50" s="649"/>
      <c r="K50" s="650"/>
      <c r="L50" s="22"/>
      <c r="M50" s="22"/>
      <c r="N50" s="501"/>
      <c r="O50" s="22"/>
      <c r="P50" s="520"/>
      <c r="Q50" s="22"/>
      <c r="R50" s="22"/>
      <c r="S50" s="22"/>
      <c r="T50" s="665"/>
      <c r="U50" s="665"/>
      <c r="V50" s="665"/>
      <c r="W50" s="665"/>
      <c r="X50" s="665"/>
      <c r="Y50" s="665"/>
      <c r="Z50" s="665"/>
      <c r="AA50" s="665"/>
      <c r="AB50" s="665"/>
      <c r="AC50" s="665"/>
      <c r="AD50" s="665"/>
      <c r="AE50" s="665"/>
      <c r="AF50" s="665"/>
      <c r="AG50" s="665"/>
      <c r="AH50" s="665"/>
      <c r="AI50" s="665"/>
    </row>
    <row r="51" spans="1:35" s="177" customFormat="1" ht="19.350000000000001" customHeight="1" x14ac:dyDescent="0.2">
      <c r="A51" s="454"/>
      <c r="B51" s="927"/>
      <c r="C51" s="522"/>
      <c r="D51" s="890"/>
      <c r="E51" s="925"/>
      <c r="F51" s="524"/>
      <c r="G51" s="890"/>
      <c r="H51" s="925"/>
      <c r="I51" s="484"/>
      <c r="J51" s="649"/>
      <c r="K51" s="650"/>
      <c r="L51" s="22"/>
      <c r="M51" s="22"/>
      <c r="N51" s="501"/>
      <c r="O51" s="22"/>
      <c r="P51" s="520"/>
      <c r="Q51" s="22"/>
      <c r="R51" s="22"/>
      <c r="S51" s="22"/>
      <c r="T51" s="665"/>
      <c r="U51" s="665"/>
      <c r="V51" s="665"/>
      <c r="W51" s="665"/>
      <c r="X51" s="665"/>
      <c r="Y51" s="665"/>
      <c r="Z51" s="665"/>
      <c r="AA51" s="665"/>
      <c r="AB51" s="665"/>
      <c r="AC51" s="665"/>
      <c r="AD51" s="665"/>
      <c r="AE51" s="665"/>
      <c r="AF51" s="665"/>
      <c r="AG51" s="665"/>
      <c r="AH51" s="665"/>
      <c r="AI51" s="665"/>
    </row>
    <row r="52" spans="1:35" s="177" customFormat="1" ht="19.350000000000001" customHeight="1" x14ac:dyDescent="0.2">
      <c r="A52" s="454"/>
      <c r="B52" s="927"/>
      <c r="C52" s="522"/>
      <c r="D52" s="890"/>
      <c r="E52" s="925"/>
      <c r="F52" s="524"/>
      <c r="G52" s="890"/>
      <c r="H52" s="925"/>
      <c r="I52" s="484"/>
      <c r="J52" s="649"/>
      <c r="K52" s="650"/>
      <c r="L52" s="22"/>
      <c r="M52" s="22"/>
      <c r="N52" s="501"/>
      <c r="O52" s="22"/>
      <c r="P52" s="520"/>
      <c r="Q52" s="22"/>
      <c r="R52" s="22"/>
      <c r="S52" s="22"/>
      <c r="T52" s="665"/>
      <c r="U52" s="665"/>
      <c r="V52" s="665"/>
      <c r="W52" s="665"/>
      <c r="X52" s="665"/>
      <c r="Y52" s="665"/>
      <c r="Z52" s="665"/>
      <c r="AA52" s="665"/>
      <c r="AB52" s="665"/>
      <c r="AC52" s="665"/>
      <c r="AD52" s="665"/>
      <c r="AE52" s="665"/>
      <c r="AF52" s="665"/>
      <c r="AG52" s="665"/>
      <c r="AH52" s="665"/>
      <c r="AI52" s="665"/>
    </row>
    <row r="53" spans="1:35" s="177" customFormat="1" ht="19.350000000000001" customHeight="1" x14ac:dyDescent="0.2">
      <c r="A53" s="454"/>
      <c r="B53" s="927"/>
      <c r="C53" s="522"/>
      <c r="D53" s="890"/>
      <c r="E53" s="925"/>
      <c r="F53" s="524"/>
      <c r="G53" s="890"/>
      <c r="H53" s="925"/>
      <c r="I53" s="484"/>
      <c r="J53" s="649"/>
      <c r="K53" s="650"/>
      <c r="L53" s="22"/>
      <c r="M53" s="22"/>
      <c r="N53" s="501"/>
      <c r="O53" s="22"/>
      <c r="P53" s="520"/>
      <c r="Q53" s="22"/>
      <c r="R53" s="22"/>
      <c r="S53" s="22"/>
      <c r="T53" s="665"/>
      <c r="U53" s="665"/>
      <c r="V53" s="665"/>
      <c r="W53" s="665"/>
      <c r="X53" s="665"/>
      <c r="Y53" s="665"/>
      <c r="Z53" s="665"/>
      <c r="AA53" s="665"/>
      <c r="AB53" s="665"/>
      <c r="AC53" s="665"/>
      <c r="AD53" s="665"/>
      <c r="AE53" s="665"/>
      <c r="AF53" s="665"/>
      <c r="AG53" s="665"/>
      <c r="AH53" s="665"/>
      <c r="AI53" s="665"/>
    </row>
    <row r="54" spans="1:35" s="177" customFormat="1" ht="19.350000000000001" customHeight="1" x14ac:dyDescent="0.2">
      <c r="A54" s="454"/>
      <c r="B54" s="927"/>
      <c r="C54" s="522"/>
      <c r="D54" s="890"/>
      <c r="E54" s="925"/>
      <c r="F54" s="524"/>
      <c r="G54" s="890"/>
      <c r="H54" s="925"/>
      <c r="I54" s="484"/>
      <c r="J54" s="649"/>
      <c r="K54" s="650"/>
      <c r="L54" s="22"/>
      <c r="M54" s="22"/>
      <c r="N54" s="501"/>
      <c r="O54" s="22"/>
      <c r="P54" s="520"/>
      <c r="Q54" s="22"/>
      <c r="R54" s="22"/>
      <c r="S54" s="22"/>
      <c r="T54" s="665"/>
      <c r="U54" s="665"/>
      <c r="V54" s="665"/>
      <c r="W54" s="665"/>
      <c r="X54" s="665"/>
      <c r="Y54" s="665"/>
      <c r="Z54" s="665"/>
      <c r="AA54" s="665"/>
      <c r="AB54" s="665"/>
      <c r="AC54" s="665"/>
      <c r="AD54" s="665"/>
      <c r="AE54" s="665"/>
      <c r="AF54" s="665"/>
      <c r="AG54" s="665"/>
      <c r="AH54" s="665"/>
      <c r="AI54" s="665"/>
    </row>
    <row r="55" spans="1:35" s="177" customFormat="1" ht="19.350000000000001" customHeight="1" x14ac:dyDescent="0.2">
      <c r="A55" s="454"/>
      <c r="B55" s="927"/>
      <c r="C55" s="522"/>
      <c r="D55" s="890"/>
      <c r="E55" s="925"/>
      <c r="F55" s="524"/>
      <c r="G55" s="890"/>
      <c r="H55" s="925"/>
      <c r="I55" s="484"/>
      <c r="J55" s="649"/>
      <c r="K55" s="650"/>
      <c r="L55" s="22"/>
      <c r="M55" s="22"/>
      <c r="N55" s="501"/>
      <c r="O55" s="22"/>
      <c r="P55" s="520"/>
      <c r="Q55" s="22"/>
      <c r="R55" s="22"/>
      <c r="S55" s="22"/>
      <c r="T55" s="665"/>
      <c r="U55" s="665"/>
      <c r="V55" s="665"/>
      <c r="W55" s="665"/>
      <c r="X55" s="665"/>
      <c r="Y55" s="665"/>
      <c r="Z55" s="665"/>
      <c r="AA55" s="665"/>
      <c r="AB55" s="665"/>
      <c r="AC55" s="665"/>
      <c r="AD55" s="665"/>
      <c r="AE55" s="665"/>
      <c r="AF55" s="665"/>
      <c r="AG55" s="665"/>
      <c r="AH55" s="665"/>
      <c r="AI55" s="665"/>
    </row>
    <row r="56" spans="1:35" s="177" customFormat="1" ht="19.350000000000001" customHeight="1" x14ac:dyDescent="0.2">
      <c r="A56" s="454"/>
      <c r="B56" s="927"/>
      <c r="C56" s="522"/>
      <c r="D56" s="890"/>
      <c r="E56" s="925"/>
      <c r="F56" s="524"/>
      <c r="G56" s="890"/>
      <c r="H56" s="925"/>
      <c r="I56" s="484"/>
      <c r="J56" s="649"/>
      <c r="K56" s="650"/>
      <c r="L56" s="22"/>
      <c r="M56" s="22"/>
      <c r="N56" s="501"/>
      <c r="O56" s="22"/>
      <c r="P56" s="520"/>
      <c r="Q56" s="22"/>
      <c r="R56" s="22"/>
      <c r="S56" s="22"/>
      <c r="T56" s="665"/>
      <c r="U56" s="665"/>
      <c r="V56" s="665"/>
      <c r="W56" s="665"/>
      <c r="X56" s="665"/>
      <c r="Y56" s="665"/>
      <c r="Z56" s="665"/>
      <c r="AA56" s="665"/>
      <c r="AB56" s="665"/>
      <c r="AC56" s="665"/>
      <c r="AD56" s="665"/>
      <c r="AE56" s="665"/>
      <c r="AF56" s="665"/>
      <c r="AG56" s="665"/>
      <c r="AH56" s="665"/>
      <c r="AI56" s="665"/>
    </row>
    <row r="57" spans="1:35" s="177" customFormat="1" ht="19.350000000000001" customHeight="1" x14ac:dyDescent="0.2">
      <c r="A57" s="454"/>
      <c r="B57" s="927"/>
      <c r="C57" s="522"/>
      <c r="D57" s="890"/>
      <c r="E57" s="925"/>
      <c r="F57" s="524"/>
      <c r="G57" s="890"/>
      <c r="H57" s="925"/>
      <c r="I57" s="484"/>
      <c r="J57" s="649"/>
      <c r="K57" s="650"/>
      <c r="L57" s="22"/>
      <c r="M57" s="22"/>
      <c r="N57" s="501"/>
      <c r="O57" s="22"/>
      <c r="P57" s="520"/>
      <c r="Q57" s="22"/>
      <c r="R57" s="22"/>
      <c r="S57" s="22"/>
      <c r="T57" s="665"/>
      <c r="U57" s="665"/>
      <c r="V57" s="665"/>
      <c r="W57" s="665"/>
      <c r="X57" s="665"/>
      <c r="Y57" s="665"/>
      <c r="Z57" s="665"/>
      <c r="AA57" s="665"/>
      <c r="AB57" s="665"/>
      <c r="AC57" s="665"/>
      <c r="AD57" s="665"/>
      <c r="AE57" s="665"/>
      <c r="AF57" s="665"/>
      <c r="AG57" s="665"/>
      <c r="AH57" s="665"/>
      <c r="AI57" s="665"/>
    </row>
    <row r="58" spans="1:35" s="177" customFormat="1" ht="19.350000000000001" customHeight="1" x14ac:dyDescent="0.2">
      <c r="A58" s="454"/>
      <c r="B58" s="927"/>
      <c r="C58" s="522"/>
      <c r="D58" s="890"/>
      <c r="E58" s="925"/>
      <c r="F58" s="524"/>
      <c r="G58" s="890"/>
      <c r="H58" s="925"/>
      <c r="I58" s="484"/>
      <c r="J58" s="649"/>
      <c r="K58" s="650"/>
      <c r="L58" s="22"/>
      <c r="M58" s="22"/>
      <c r="N58" s="501"/>
      <c r="O58" s="22"/>
      <c r="P58" s="520"/>
      <c r="Q58" s="22"/>
      <c r="R58" s="22"/>
      <c r="S58" s="22"/>
      <c r="T58" s="665"/>
      <c r="U58" s="665"/>
      <c r="V58" s="665"/>
      <c r="W58" s="665"/>
      <c r="X58" s="665"/>
      <c r="Y58" s="665"/>
      <c r="Z58" s="665"/>
      <c r="AA58" s="665"/>
      <c r="AB58" s="665"/>
      <c r="AC58" s="665"/>
      <c r="AD58" s="665"/>
      <c r="AE58" s="665"/>
      <c r="AF58" s="665"/>
      <c r="AG58" s="665"/>
      <c r="AH58" s="665"/>
      <c r="AI58" s="665"/>
    </row>
    <row r="59" spans="1:35" s="177" customFormat="1" ht="19.350000000000001" customHeight="1" x14ac:dyDescent="0.2">
      <c r="A59" s="454"/>
      <c r="B59" s="927"/>
      <c r="C59" s="522"/>
      <c r="D59" s="890"/>
      <c r="E59" s="925"/>
      <c r="F59" s="524"/>
      <c r="G59" s="890"/>
      <c r="H59" s="925"/>
      <c r="I59" s="484"/>
      <c r="J59" s="649"/>
      <c r="K59" s="650"/>
      <c r="L59" s="22"/>
      <c r="M59" s="22"/>
      <c r="N59" s="501"/>
      <c r="O59" s="22"/>
      <c r="P59" s="520"/>
      <c r="Q59" s="22"/>
      <c r="R59" s="22"/>
      <c r="S59" s="22"/>
      <c r="T59" s="665"/>
      <c r="U59" s="665"/>
      <c r="V59" s="665"/>
      <c r="W59" s="665"/>
      <c r="X59" s="665"/>
      <c r="Y59" s="665"/>
      <c r="Z59" s="665"/>
      <c r="AA59" s="665"/>
      <c r="AB59" s="665"/>
      <c r="AC59" s="665"/>
      <c r="AD59" s="665"/>
      <c r="AE59" s="665"/>
      <c r="AF59" s="665"/>
      <c r="AG59" s="665"/>
      <c r="AH59" s="665"/>
      <c r="AI59" s="665"/>
    </row>
    <row r="60" spans="1:35" s="177" customFormat="1" ht="19.350000000000001" customHeight="1" x14ac:dyDescent="0.2">
      <c r="A60" s="454"/>
      <c r="B60" s="927"/>
      <c r="C60" s="522"/>
      <c r="D60" s="890"/>
      <c r="E60" s="925"/>
      <c r="F60" s="524"/>
      <c r="G60" s="890"/>
      <c r="H60" s="925"/>
      <c r="I60" s="484"/>
      <c r="J60" s="649"/>
      <c r="K60" s="650"/>
      <c r="L60" s="22"/>
      <c r="M60" s="22"/>
      <c r="N60" s="501"/>
      <c r="O60" s="22"/>
      <c r="P60" s="520"/>
      <c r="Q60" s="22"/>
      <c r="R60" s="22"/>
      <c r="S60" s="22"/>
      <c r="T60" s="665"/>
      <c r="U60" s="665"/>
      <c r="V60" s="665"/>
      <c r="W60" s="665"/>
      <c r="X60" s="665"/>
      <c r="Y60" s="665"/>
      <c r="Z60" s="665"/>
      <c r="AA60" s="501"/>
      <c r="AB60" s="501"/>
      <c r="AC60" s="501"/>
      <c r="AD60" s="501"/>
      <c r="AE60" s="501"/>
      <c r="AF60" s="501"/>
      <c r="AG60" s="501"/>
      <c r="AH60" s="665"/>
      <c r="AI60" s="665"/>
    </row>
    <row r="61" spans="1:35" s="177" customFormat="1" ht="19.350000000000001" customHeight="1" x14ac:dyDescent="0.2">
      <c r="A61" s="454"/>
      <c r="B61" s="927"/>
      <c r="C61" s="522"/>
      <c r="D61" s="890"/>
      <c r="E61" s="925"/>
      <c r="F61" s="524"/>
      <c r="G61" s="890"/>
      <c r="H61" s="925"/>
      <c r="I61" s="484"/>
      <c r="J61" s="649"/>
      <c r="K61" s="650"/>
      <c r="L61" s="22"/>
      <c r="M61" s="22"/>
      <c r="N61" s="501"/>
      <c r="O61" s="22"/>
      <c r="P61" s="520"/>
      <c r="Q61" s="22"/>
      <c r="R61" s="22"/>
      <c r="S61" s="22"/>
      <c r="T61" s="665"/>
      <c r="U61" s="665"/>
      <c r="V61" s="665"/>
      <c r="W61" s="665"/>
      <c r="X61" s="665"/>
      <c r="Y61" s="665"/>
      <c r="Z61" s="665"/>
      <c r="AA61" s="501"/>
      <c r="AB61" s="501"/>
      <c r="AC61" s="501"/>
      <c r="AD61" s="501"/>
      <c r="AE61" s="501"/>
      <c r="AF61" s="501"/>
      <c r="AG61" s="501"/>
      <c r="AH61" s="665"/>
      <c r="AI61" s="665"/>
    </row>
    <row r="62" spans="1:35" s="177" customFormat="1" ht="19.350000000000001" customHeight="1" x14ac:dyDescent="0.2">
      <c r="A62" s="454"/>
      <c r="B62" s="927"/>
      <c r="C62" s="522"/>
      <c r="D62" s="890"/>
      <c r="E62" s="925"/>
      <c r="F62" s="524"/>
      <c r="G62" s="890"/>
      <c r="H62" s="925"/>
      <c r="I62" s="484"/>
      <c r="J62" s="649"/>
      <c r="K62" s="650"/>
      <c r="L62" s="22"/>
      <c r="M62" s="22"/>
      <c r="N62" s="501"/>
      <c r="O62" s="22"/>
      <c r="P62" s="520"/>
      <c r="Q62" s="22"/>
      <c r="R62" s="22"/>
      <c r="S62" s="22"/>
      <c r="T62" s="665"/>
      <c r="U62" s="665"/>
      <c r="V62" s="665"/>
      <c r="W62" s="665"/>
      <c r="X62" s="665"/>
      <c r="Y62" s="665"/>
      <c r="Z62" s="665"/>
      <c r="AA62" s="501"/>
      <c r="AB62" s="501"/>
      <c r="AC62" s="501"/>
      <c r="AD62" s="501"/>
      <c r="AE62" s="501"/>
      <c r="AF62" s="501"/>
      <c r="AG62" s="501"/>
      <c r="AH62" s="665"/>
      <c r="AI62" s="665"/>
    </row>
    <row r="63" spans="1:35" s="177" customFormat="1" ht="19.350000000000001" customHeight="1" x14ac:dyDescent="0.2">
      <c r="A63" s="454"/>
      <c r="B63" s="927"/>
      <c r="C63" s="522"/>
      <c r="D63" s="890"/>
      <c r="E63" s="925"/>
      <c r="F63" s="524"/>
      <c r="G63" s="890"/>
      <c r="H63" s="925"/>
      <c r="I63" s="484"/>
      <c r="J63" s="649"/>
      <c r="K63" s="650"/>
      <c r="L63" s="22"/>
      <c r="M63" s="22"/>
      <c r="N63" s="501"/>
      <c r="O63" s="22"/>
      <c r="P63" s="520"/>
      <c r="Q63" s="22"/>
      <c r="R63" s="22"/>
      <c r="S63" s="22"/>
      <c r="T63" s="665"/>
      <c r="U63" s="665"/>
      <c r="V63" s="665"/>
      <c r="W63" s="665"/>
      <c r="X63" s="665"/>
      <c r="Y63" s="665"/>
      <c r="Z63" s="665"/>
      <c r="AA63" s="501"/>
      <c r="AB63" s="501"/>
      <c r="AC63" s="501"/>
      <c r="AD63" s="651"/>
      <c r="AE63" s="501"/>
      <c r="AF63" s="501"/>
      <c r="AG63" s="501"/>
      <c r="AH63" s="665"/>
      <c r="AI63" s="665"/>
    </row>
    <row r="64" spans="1:35" s="177" customFormat="1" ht="19.350000000000001" customHeight="1" x14ac:dyDescent="0.2">
      <c r="A64" s="454"/>
      <c r="B64" s="927"/>
      <c r="C64" s="522"/>
      <c r="D64" s="890"/>
      <c r="E64" s="925"/>
      <c r="F64" s="524"/>
      <c r="G64" s="890"/>
      <c r="H64" s="925"/>
      <c r="I64" s="484"/>
      <c r="J64" s="649"/>
      <c r="K64" s="650"/>
      <c r="L64" s="22"/>
      <c r="M64" s="22"/>
      <c r="N64" s="501"/>
      <c r="O64" s="22"/>
      <c r="P64" s="520"/>
      <c r="Q64" s="22"/>
      <c r="R64" s="22"/>
      <c r="S64" s="22"/>
      <c r="T64" s="665"/>
      <c r="U64" s="665"/>
      <c r="V64" s="665"/>
      <c r="W64" s="665"/>
      <c r="X64" s="665"/>
      <c r="Y64" s="665"/>
      <c r="Z64" s="665"/>
      <c r="AA64" s="501"/>
      <c r="AB64" s="651"/>
      <c r="AC64" s="651"/>
      <c r="AD64" s="651"/>
      <c r="AE64" s="501"/>
      <c r="AF64" s="501"/>
      <c r="AG64" s="501"/>
      <c r="AH64" s="665"/>
      <c r="AI64" s="665"/>
    </row>
    <row r="65" spans="1:35" s="177" customFormat="1" ht="19.350000000000001" customHeight="1" x14ac:dyDescent="0.2">
      <c r="A65" s="454"/>
      <c r="B65" s="927"/>
      <c r="C65" s="522"/>
      <c r="D65" s="890"/>
      <c r="E65" s="925"/>
      <c r="F65" s="524"/>
      <c r="G65" s="890"/>
      <c r="H65" s="925"/>
      <c r="I65" s="484"/>
      <c r="J65" s="649"/>
      <c r="K65" s="650"/>
      <c r="L65" s="22"/>
      <c r="M65" s="22"/>
      <c r="N65" s="501"/>
      <c r="O65" s="22"/>
      <c r="P65" s="520"/>
      <c r="Q65" s="22"/>
      <c r="R65" s="22"/>
      <c r="S65" s="22"/>
      <c r="T65" s="665"/>
      <c r="U65" s="665"/>
      <c r="V65" s="665"/>
      <c r="W65" s="665"/>
      <c r="X65" s="665"/>
      <c r="Y65" s="665"/>
      <c r="Z65" s="665"/>
      <c r="AA65" s="501"/>
      <c r="AB65" s="651"/>
      <c r="AC65" s="651"/>
      <c r="AD65" s="651"/>
      <c r="AE65" s="501"/>
      <c r="AF65" s="501"/>
      <c r="AG65" s="501"/>
      <c r="AH65" s="665"/>
      <c r="AI65" s="665"/>
    </row>
    <row r="66" spans="1:35" s="101" customFormat="1" ht="19.350000000000001" customHeight="1" outlineLevel="1" x14ac:dyDescent="0.2">
      <c r="B66" s="927"/>
      <c r="C66" s="522"/>
      <c r="D66" s="890"/>
      <c r="E66" s="925"/>
      <c r="F66" s="524"/>
      <c r="G66" s="890"/>
      <c r="H66" s="925"/>
      <c r="I66" s="647"/>
      <c r="J66" s="20"/>
      <c r="K66" s="20"/>
      <c r="L66" s="20"/>
      <c r="M66" s="20"/>
      <c r="N66" s="500"/>
      <c r="O66" s="20"/>
      <c r="P66" s="520"/>
      <c r="Q66" s="20"/>
      <c r="R66" s="20"/>
      <c r="S66" s="20"/>
      <c r="T66" s="664"/>
      <c r="U66" s="664"/>
      <c r="V66" s="664"/>
      <c r="W66" s="664"/>
      <c r="X66" s="664"/>
      <c r="Y66" s="664"/>
      <c r="Z66" s="664"/>
      <c r="AA66" s="500"/>
      <c r="AB66" s="652"/>
      <c r="AC66" s="652"/>
      <c r="AD66" s="652" t="s">
        <v>409</v>
      </c>
      <c r="AE66" s="500"/>
      <c r="AF66" s="500"/>
      <c r="AG66" s="500"/>
      <c r="AH66" s="664"/>
      <c r="AI66" s="664"/>
    </row>
    <row r="67" spans="1:35" s="101" customFormat="1" ht="1.35" customHeight="1" outlineLevel="1" thickBot="1" x14ac:dyDescent="0.25">
      <c r="B67" s="123"/>
      <c r="C67" s="123"/>
      <c r="D67" s="123"/>
      <c r="E67" s="123"/>
      <c r="F67" s="123"/>
      <c r="G67" s="123"/>
      <c r="H67" s="123"/>
      <c r="I67" s="553"/>
      <c r="J67" s="123"/>
      <c r="K67" s="123"/>
      <c r="L67" s="123"/>
      <c r="M67" s="123"/>
      <c r="N67" s="515"/>
      <c r="O67" s="123"/>
      <c r="P67" s="452"/>
      <c r="Q67" s="20"/>
      <c r="R67" s="20"/>
      <c r="S67" s="20"/>
      <c r="T67" s="664"/>
      <c r="U67" s="664"/>
      <c r="V67" s="664"/>
      <c r="W67" s="664"/>
      <c r="X67" s="664"/>
      <c r="Y67" s="664"/>
      <c r="Z67" s="664"/>
      <c r="AA67" s="500"/>
      <c r="AB67" s="652"/>
      <c r="AC67" s="653"/>
      <c r="AD67" s="652" t="s">
        <v>412</v>
      </c>
      <c r="AE67" s="500"/>
      <c r="AF67" s="500"/>
      <c r="AG67" s="500"/>
      <c r="AH67" s="664"/>
      <c r="AI67" s="664"/>
    </row>
    <row r="68" spans="1:35" s="101" customFormat="1" ht="27.6" customHeight="1" outlineLevel="1" x14ac:dyDescent="0.2">
      <c r="B68" s="20"/>
      <c r="C68" s="20"/>
      <c r="D68" s="20"/>
      <c r="E68" s="20"/>
      <c r="F68" s="20"/>
      <c r="G68" s="20"/>
      <c r="H68" s="20"/>
      <c r="I68" s="641"/>
      <c r="J68" s="20"/>
      <c r="K68" s="20"/>
      <c r="L68" s="20"/>
      <c r="M68" s="20"/>
      <c r="N68" s="500"/>
      <c r="O68" s="20"/>
      <c r="P68" s="22"/>
      <c r="Q68" s="20"/>
      <c r="R68" s="20"/>
      <c r="S68" s="20"/>
      <c r="T68" s="664"/>
      <c r="U68" s="664"/>
      <c r="V68" s="664"/>
      <c r="W68" s="664"/>
      <c r="X68" s="664"/>
      <c r="Y68" s="664"/>
      <c r="Z68" s="664"/>
      <c r="AA68" s="500"/>
      <c r="AB68" s="652"/>
      <c r="AC68" s="653"/>
      <c r="AD68" s="653" t="s">
        <v>198</v>
      </c>
      <c r="AE68" s="500"/>
      <c r="AF68" s="500"/>
      <c r="AG68" s="500"/>
      <c r="AH68" s="664"/>
      <c r="AI68" s="664"/>
    </row>
    <row r="69" spans="1:35" s="101" customFormat="1" ht="42" customHeight="1" outlineLevel="1" x14ac:dyDescent="0.2">
      <c r="B69" s="20"/>
      <c r="C69" s="20"/>
      <c r="D69" s="20"/>
      <c r="E69" s="20"/>
      <c r="F69" s="20"/>
      <c r="G69" s="20"/>
      <c r="H69" s="20"/>
      <c r="I69" s="471"/>
      <c r="N69" s="500"/>
      <c r="O69" s="20"/>
      <c r="P69" s="20"/>
      <c r="Q69" s="20"/>
      <c r="R69" s="20"/>
      <c r="S69" s="20"/>
      <c r="T69" s="664"/>
      <c r="U69" s="664"/>
      <c r="V69" s="664"/>
      <c r="W69" s="664"/>
      <c r="X69" s="664"/>
      <c r="Y69" s="664"/>
      <c r="Z69" s="664"/>
      <c r="AA69" s="500"/>
      <c r="AB69" s="652"/>
      <c r="AC69" s="652"/>
      <c r="AD69" s="653" t="s">
        <v>413</v>
      </c>
      <c r="AE69" s="500"/>
      <c r="AF69" s="500"/>
      <c r="AG69" s="500"/>
      <c r="AH69" s="664"/>
      <c r="AI69" s="664"/>
    </row>
    <row r="70" spans="1:35" s="101" customFormat="1" ht="26.45" hidden="1" customHeight="1" outlineLevel="1" x14ac:dyDescent="0.2">
      <c r="B70" s="20"/>
      <c r="C70" s="20"/>
      <c r="D70" s="20"/>
      <c r="E70" s="20"/>
      <c r="F70" s="20"/>
      <c r="G70" s="20"/>
      <c r="H70" s="20"/>
      <c r="I70" s="471"/>
      <c r="N70" s="500"/>
      <c r="O70" s="20"/>
      <c r="P70" s="20"/>
      <c r="Q70" s="20"/>
      <c r="R70" s="20"/>
      <c r="S70" s="20"/>
      <c r="T70" s="664"/>
      <c r="U70" s="664"/>
      <c r="V70" s="664"/>
      <c r="W70" s="664"/>
      <c r="X70" s="664"/>
      <c r="Y70" s="664"/>
      <c r="Z70" s="664"/>
      <c r="AA70" s="500"/>
      <c r="AB70" s="500"/>
      <c r="AC70" s="500"/>
      <c r="AD70" s="652"/>
      <c r="AE70" s="500"/>
      <c r="AF70" s="500"/>
      <c r="AG70" s="500"/>
      <c r="AH70" s="664"/>
      <c r="AI70" s="664"/>
    </row>
    <row r="71" spans="1:35" s="122" customFormat="1" ht="12.75" hidden="1" customHeight="1" x14ac:dyDescent="0.2">
      <c r="B71" s="561"/>
      <c r="C71" s="561"/>
      <c r="D71" s="561"/>
      <c r="E71" s="561"/>
      <c r="F71" s="561"/>
      <c r="G71" s="561"/>
      <c r="H71" s="469"/>
      <c r="I71" s="469"/>
      <c r="N71" s="502"/>
      <c r="O71" s="3"/>
      <c r="P71" s="3"/>
      <c r="Q71" s="3"/>
      <c r="R71" s="3"/>
      <c r="S71" s="3"/>
      <c r="T71" s="375"/>
      <c r="U71" s="375"/>
      <c r="V71" s="375"/>
      <c r="W71" s="375"/>
      <c r="X71" s="375"/>
      <c r="Y71" s="375"/>
      <c r="Z71" s="375"/>
      <c r="AA71" s="502"/>
      <c r="AB71" s="502"/>
      <c r="AC71" s="502"/>
      <c r="AD71" s="662"/>
      <c r="AE71" s="502"/>
      <c r="AF71" s="502"/>
      <c r="AG71" s="502"/>
      <c r="AH71" s="375"/>
      <c r="AI71" s="375"/>
    </row>
    <row r="72" spans="1:35" s="101" customFormat="1" ht="35.25" hidden="1" customHeight="1" outlineLevel="1" x14ac:dyDescent="0.2">
      <c r="B72" s="467"/>
      <c r="C72" s="472"/>
      <c r="D72" s="1636"/>
      <c r="E72" s="1636"/>
      <c r="F72" s="1636"/>
      <c r="G72" s="1637"/>
      <c r="H72" s="470"/>
      <c r="I72" s="471"/>
      <c r="N72" s="500"/>
      <c r="O72" s="20"/>
      <c r="P72" s="20"/>
      <c r="Q72" s="20"/>
      <c r="R72" s="20"/>
      <c r="S72" s="20"/>
      <c r="T72" s="664"/>
      <c r="U72" s="664"/>
      <c r="V72" s="664"/>
      <c r="W72" s="664"/>
      <c r="X72" s="664"/>
      <c r="Y72" s="664"/>
      <c r="Z72" s="664"/>
      <c r="AA72" s="500"/>
      <c r="AB72" s="500"/>
      <c r="AC72" s="500"/>
      <c r="AD72" s="652"/>
      <c r="AE72" s="500"/>
      <c r="AF72" s="500"/>
      <c r="AG72" s="500"/>
      <c r="AH72" s="664"/>
      <c r="AI72" s="664"/>
    </row>
    <row r="73" spans="1:35" s="101" customFormat="1" ht="35.25" hidden="1" customHeight="1" outlineLevel="1" x14ac:dyDescent="0.2">
      <c r="B73" s="465"/>
      <c r="C73" s="466"/>
      <c r="D73" s="1641"/>
      <c r="E73" s="1641"/>
      <c r="F73" s="1641"/>
      <c r="G73" s="1642"/>
      <c r="H73" s="468"/>
      <c r="I73" s="471"/>
      <c r="N73" s="500"/>
      <c r="O73" s="20"/>
      <c r="P73" s="20"/>
      <c r="Q73" s="20"/>
      <c r="R73" s="20"/>
      <c r="S73" s="20"/>
      <c r="T73" s="664"/>
      <c r="U73" s="664"/>
      <c r="V73" s="664"/>
      <c r="W73" s="664"/>
      <c r="X73" s="664"/>
      <c r="Y73" s="664"/>
      <c r="Z73" s="664"/>
      <c r="AA73" s="500"/>
      <c r="AB73" s="500"/>
      <c r="AC73" s="500"/>
      <c r="AD73" s="652"/>
      <c r="AE73" s="500"/>
      <c r="AF73" s="500"/>
      <c r="AG73" s="500"/>
      <c r="AH73" s="664"/>
      <c r="AI73" s="664"/>
    </row>
    <row r="74" spans="1:35" s="101" customFormat="1" ht="35.25" hidden="1" customHeight="1" outlineLevel="1" x14ac:dyDescent="0.2">
      <c r="B74" s="465"/>
      <c r="C74" s="466"/>
      <c r="D74" s="1641"/>
      <c r="E74" s="1641"/>
      <c r="F74" s="1641"/>
      <c r="G74" s="1642"/>
      <c r="H74" s="480"/>
      <c r="I74" s="471"/>
      <c r="N74" s="500"/>
      <c r="O74" s="20"/>
      <c r="P74" s="20"/>
      <c r="Q74" s="20"/>
      <c r="R74" s="20"/>
      <c r="S74" s="20"/>
      <c r="T74" s="664"/>
      <c r="U74" s="664"/>
      <c r="V74" s="664"/>
      <c r="W74" s="664"/>
      <c r="X74" s="664"/>
      <c r="Y74" s="664"/>
      <c r="Z74" s="664"/>
      <c r="AA74" s="500"/>
      <c r="AB74" s="500"/>
      <c r="AC74" s="500"/>
      <c r="AD74" s="652"/>
      <c r="AE74" s="500"/>
      <c r="AF74" s="500"/>
      <c r="AG74" s="500"/>
      <c r="AH74" s="664"/>
      <c r="AI74" s="664"/>
    </row>
    <row r="75" spans="1:35" s="101" customFormat="1" ht="14.25" hidden="1" x14ac:dyDescent="0.2">
      <c r="B75" s="51"/>
      <c r="C75" s="51"/>
      <c r="D75" s="52"/>
      <c r="E75" s="52"/>
      <c r="F75" s="52"/>
      <c r="G75" s="51"/>
      <c r="H75" s="20"/>
      <c r="I75" s="20"/>
      <c r="N75" s="500"/>
      <c r="O75" s="20"/>
      <c r="P75" s="20"/>
      <c r="Q75" s="20"/>
      <c r="R75" s="20"/>
      <c r="S75" s="20"/>
      <c r="T75" s="664"/>
      <c r="U75" s="664"/>
      <c r="V75" s="664"/>
      <c r="W75" s="664"/>
      <c r="X75" s="664"/>
      <c r="Y75" s="664"/>
      <c r="Z75" s="664"/>
      <c r="AA75" s="500"/>
      <c r="AB75" s="500"/>
      <c r="AC75" s="500"/>
      <c r="AD75" s="652"/>
      <c r="AE75" s="500"/>
      <c r="AF75" s="500"/>
      <c r="AG75" s="500"/>
      <c r="AH75" s="664"/>
      <c r="AI75" s="664"/>
    </row>
    <row r="76" spans="1:35" s="101" customFormat="1" hidden="1" x14ac:dyDescent="0.2">
      <c r="N76" s="500"/>
      <c r="O76" s="20"/>
      <c r="P76" s="20"/>
      <c r="Q76" s="20"/>
      <c r="R76" s="20"/>
      <c r="S76" s="20"/>
      <c r="T76" s="664"/>
      <c r="U76" s="664"/>
      <c r="V76" s="664"/>
      <c r="W76" s="664"/>
      <c r="X76" s="664"/>
      <c r="Y76" s="664"/>
      <c r="Z76" s="664"/>
      <c r="AA76" s="500"/>
      <c r="AB76" s="500"/>
      <c r="AC76" s="500"/>
      <c r="AD76" s="652"/>
      <c r="AE76" s="500"/>
      <c r="AF76" s="500"/>
      <c r="AG76" s="500"/>
      <c r="AH76" s="664"/>
      <c r="AI76" s="664"/>
    </row>
    <row r="77" spans="1:35" s="101" customFormat="1" ht="34.5" customHeight="1" x14ac:dyDescent="0.2">
      <c r="A77" s="20"/>
      <c r="B77" s="1628" t="s">
        <v>183</v>
      </c>
      <c r="C77" s="1628"/>
      <c r="D77" s="1628"/>
      <c r="E77" s="1628"/>
      <c r="F77" s="1628"/>
      <c r="G77" s="1628"/>
      <c r="H77" s="140"/>
      <c r="I77" s="140"/>
      <c r="J77" s="140"/>
      <c r="K77" s="140"/>
      <c r="N77" s="500"/>
      <c r="O77" s="20"/>
      <c r="P77" s="20"/>
      <c r="Q77" s="20"/>
      <c r="R77" s="20"/>
      <c r="S77" s="20"/>
      <c r="T77" s="664"/>
      <c r="U77" s="664"/>
      <c r="V77" s="664"/>
      <c r="W77" s="664"/>
      <c r="X77" s="664"/>
      <c r="Y77" s="664"/>
      <c r="Z77" s="664"/>
      <c r="AA77" s="500"/>
      <c r="AB77" s="500"/>
      <c r="AC77" s="500"/>
      <c r="AD77" s="652"/>
      <c r="AE77" s="500"/>
      <c r="AF77" s="500"/>
      <c r="AG77" s="500"/>
      <c r="AH77" s="664"/>
      <c r="AI77" s="664"/>
    </row>
    <row r="78" spans="1:35" s="31" customFormat="1" ht="18" customHeight="1" thickBot="1" x14ac:dyDescent="0.25">
      <c r="B78" s="91"/>
      <c r="C78" s="91"/>
      <c r="D78" s="91"/>
      <c r="E78" s="91"/>
      <c r="F78" s="91"/>
      <c r="G78" s="91"/>
      <c r="H78" s="558"/>
      <c r="I78" s="92"/>
      <c r="N78" s="503"/>
      <c r="O78" s="71"/>
      <c r="P78" s="71"/>
      <c r="Q78" s="71"/>
      <c r="R78" s="71"/>
      <c r="S78" s="71"/>
      <c r="T78" s="88"/>
      <c r="U78" s="88"/>
      <c r="V78" s="88"/>
      <c r="W78" s="88"/>
      <c r="X78" s="88"/>
      <c r="Y78" s="88"/>
      <c r="Z78" s="88"/>
      <c r="AA78" s="503"/>
      <c r="AB78" s="503"/>
      <c r="AC78" s="503"/>
      <c r="AD78" s="663"/>
      <c r="AE78" s="503"/>
      <c r="AF78" s="503"/>
      <c r="AG78" s="503"/>
      <c r="AH78" s="88"/>
      <c r="AI78" s="88"/>
    </row>
    <row r="79" spans="1:35" s="31" customFormat="1" ht="42" customHeight="1" thickBot="1" x14ac:dyDescent="0.25">
      <c r="B79" s="542" t="s">
        <v>104</v>
      </c>
      <c r="C79" s="542"/>
      <c r="D79" s="543"/>
      <c r="E79" s="543"/>
      <c r="F79" s="1638" t="s">
        <v>102</v>
      </c>
      <c r="G79" s="1639"/>
      <c r="H79" s="1639"/>
      <c r="I79" s="1640" t="s">
        <v>101</v>
      </c>
      <c r="J79" s="1640"/>
      <c r="K79" s="1640"/>
      <c r="L79" s="71"/>
      <c r="M79" s="71"/>
      <c r="N79" s="503"/>
      <c r="O79" s="71"/>
      <c r="P79" s="544"/>
      <c r="Q79" s="71"/>
      <c r="R79" s="71"/>
      <c r="S79" s="71"/>
      <c r="T79" s="88"/>
      <c r="U79" s="88"/>
      <c r="V79" s="88"/>
      <c r="W79" s="88"/>
      <c r="X79" s="88"/>
      <c r="Y79" s="88"/>
      <c r="Z79" s="88"/>
      <c r="AA79" s="503"/>
      <c r="AB79" s="503"/>
      <c r="AC79" s="503"/>
      <c r="AD79" s="663"/>
      <c r="AE79" s="503"/>
      <c r="AF79" s="503"/>
      <c r="AG79" s="503"/>
      <c r="AH79" s="88"/>
      <c r="AI79" s="88"/>
    </row>
    <row r="80" spans="1:35" s="31" customFormat="1" ht="1.35" customHeight="1" x14ac:dyDescent="0.2">
      <c r="B80" s="620"/>
      <c r="C80" s="620"/>
      <c r="D80" s="621"/>
      <c r="E80" s="621"/>
      <c r="F80" s="610"/>
      <c r="G80" s="610"/>
      <c r="H80" s="610"/>
      <c r="I80" s="613"/>
      <c r="J80" s="613"/>
      <c r="K80" s="613"/>
      <c r="L80" s="71"/>
      <c r="M80" s="71"/>
      <c r="N80" s="503"/>
      <c r="O80" s="71"/>
      <c r="P80" s="545"/>
      <c r="Q80" s="71"/>
      <c r="R80" s="71"/>
      <c r="S80" s="71"/>
      <c r="T80" s="88"/>
      <c r="U80" s="88"/>
      <c r="V80" s="88"/>
      <c r="W80" s="88"/>
      <c r="X80" s="88"/>
      <c r="Y80" s="88"/>
      <c r="Z80" s="88"/>
      <c r="AA80" s="503"/>
      <c r="AB80" s="503"/>
      <c r="AC80" s="503"/>
      <c r="AD80" s="503"/>
      <c r="AE80" s="503"/>
      <c r="AF80" s="503"/>
      <c r="AG80" s="503"/>
      <c r="AH80" s="88"/>
      <c r="AI80" s="88"/>
    </row>
    <row r="81" spans="1:35" s="31" customFormat="1" ht="45" customHeight="1" x14ac:dyDescent="0.2">
      <c r="A81" s="454"/>
      <c r="B81" s="658" t="s">
        <v>26</v>
      </c>
      <c r="C81" s="661" t="s">
        <v>398</v>
      </c>
      <c r="D81" s="661" t="s">
        <v>0</v>
      </c>
      <c r="E81" s="552" t="s">
        <v>27</v>
      </c>
      <c r="F81" s="645" t="s">
        <v>222</v>
      </c>
      <c r="G81" s="645" t="s">
        <v>0</v>
      </c>
      <c r="H81" s="646" t="s">
        <v>27</v>
      </c>
      <c r="I81" s="555" t="s">
        <v>222</v>
      </c>
      <c r="J81" s="556" t="s">
        <v>213</v>
      </c>
      <c r="K81" s="557" t="s">
        <v>211</v>
      </c>
      <c r="L81" s="71"/>
      <c r="M81" s="71"/>
      <c r="N81" s="503"/>
      <c r="O81" s="71"/>
      <c r="P81" s="545"/>
      <c r="Q81" s="71"/>
      <c r="R81" s="71"/>
      <c r="S81" s="71"/>
      <c r="T81" s="88"/>
      <c r="U81" s="88"/>
      <c r="V81" s="88"/>
      <c r="W81" s="88"/>
      <c r="X81" s="88"/>
      <c r="Y81" s="88"/>
      <c r="Z81" s="88"/>
      <c r="AA81" s="503"/>
      <c r="AB81" s="503"/>
      <c r="AC81" s="503"/>
      <c r="AD81" s="503"/>
      <c r="AE81" s="503"/>
      <c r="AF81" s="503"/>
      <c r="AG81" s="503"/>
      <c r="AH81" s="88"/>
      <c r="AI81" s="88"/>
    </row>
    <row r="82" spans="1:35" s="31" customFormat="1" ht="20.45" customHeight="1" x14ac:dyDescent="0.2">
      <c r="A82" s="454"/>
      <c r="B82" s="659" t="s">
        <v>410</v>
      </c>
      <c r="C82" s="560"/>
      <c r="D82" s="551"/>
      <c r="E82" s="551"/>
      <c r="F82" s="560"/>
      <c r="G82" s="551"/>
      <c r="H82" s="551"/>
      <c r="I82" s="315"/>
      <c r="J82" s="481"/>
      <c r="K82" s="482"/>
      <c r="L82" s="71"/>
      <c r="M82" s="71"/>
      <c r="N82" s="503"/>
      <c r="O82" s="71"/>
      <c r="P82" s="545"/>
      <c r="Q82" s="71"/>
      <c r="R82" s="71"/>
      <c r="S82" s="71"/>
      <c r="T82" s="88"/>
      <c r="U82" s="88"/>
      <c r="V82" s="88"/>
      <c r="W82" s="88"/>
      <c r="X82" s="88"/>
      <c r="Y82" s="88"/>
      <c r="Z82" s="88"/>
      <c r="AA82" s="88"/>
      <c r="AB82" s="88"/>
      <c r="AC82" s="88"/>
      <c r="AD82" s="88"/>
      <c r="AE82" s="88"/>
      <c r="AF82" s="88"/>
      <c r="AG82" s="88"/>
      <c r="AH82" s="88"/>
      <c r="AI82" s="88"/>
    </row>
    <row r="83" spans="1:35" s="31" customFormat="1" ht="18" customHeight="1" x14ac:dyDescent="0.2">
      <c r="A83" s="454"/>
      <c r="B83" s="659" t="s">
        <v>411</v>
      </c>
      <c r="C83" s="654"/>
      <c r="D83" s="551"/>
      <c r="E83" s="528"/>
      <c r="F83" s="654"/>
      <c r="G83" s="551"/>
      <c r="H83" s="655"/>
      <c r="I83" s="656"/>
      <c r="J83" s="657"/>
      <c r="K83" s="660"/>
      <c r="L83" s="71"/>
      <c r="M83" s="71"/>
      <c r="N83" s="503"/>
      <c r="O83" s="71"/>
      <c r="P83" s="545"/>
      <c r="Q83" s="71"/>
      <c r="R83" s="71"/>
      <c r="S83" s="71"/>
      <c r="T83" s="88"/>
      <c r="U83" s="88"/>
      <c r="V83" s="88"/>
      <c r="W83" s="88"/>
      <c r="X83" s="88"/>
      <c r="Y83" s="88"/>
      <c r="Z83" s="88"/>
      <c r="AA83" s="88"/>
      <c r="AB83" s="88"/>
      <c r="AC83" s="88"/>
      <c r="AD83" s="88"/>
      <c r="AE83" s="88"/>
      <c r="AF83" s="88"/>
      <c r="AG83" s="88"/>
      <c r="AH83" s="88"/>
      <c r="AI83" s="88"/>
    </row>
    <row r="84" spans="1:35" s="50" customFormat="1" ht="2.4500000000000002" customHeight="1" thickBot="1" x14ac:dyDescent="0.25">
      <c r="A84" s="454"/>
      <c r="B84" s="546"/>
      <c r="C84" s="546"/>
      <c r="D84" s="546"/>
      <c r="E84" s="546"/>
      <c r="F84" s="546"/>
      <c r="G84" s="546"/>
      <c r="H84" s="547"/>
      <c r="I84" s="547"/>
      <c r="J84" s="547"/>
      <c r="K84" s="547"/>
      <c r="L84" s="547"/>
      <c r="M84" s="547"/>
      <c r="N84" s="548"/>
      <c r="O84" s="547"/>
      <c r="P84" s="549"/>
      <c r="T84" s="666"/>
      <c r="U84" s="666"/>
      <c r="V84" s="666"/>
      <c r="W84" s="666"/>
      <c r="X84" s="666"/>
      <c r="Y84" s="666"/>
      <c r="Z84" s="666"/>
      <c r="AA84" s="666"/>
      <c r="AB84" s="666"/>
      <c r="AC84" s="666"/>
      <c r="AD84" s="666"/>
      <c r="AE84" s="666"/>
      <c r="AF84" s="666"/>
      <c r="AG84" s="666"/>
      <c r="AH84" s="666"/>
      <c r="AI84" s="666"/>
    </row>
    <row r="85" spans="1:35" x14ac:dyDescent="0.2">
      <c r="B85" s="19"/>
      <c r="C85" s="19"/>
      <c r="D85" s="19"/>
      <c r="E85" s="27"/>
      <c r="F85" s="19"/>
      <c r="G85" s="19"/>
      <c r="T85" s="664"/>
      <c r="U85" s="664"/>
      <c r="V85" s="664"/>
      <c r="W85" s="664"/>
      <c r="X85" s="664"/>
      <c r="Y85" s="664"/>
      <c r="Z85" s="664"/>
      <c r="AA85" s="664"/>
      <c r="AB85" s="664"/>
      <c r="AC85" s="664"/>
      <c r="AD85" s="664"/>
      <c r="AE85" s="664"/>
      <c r="AF85" s="664"/>
      <c r="AG85" s="664"/>
      <c r="AH85" s="664"/>
      <c r="AI85" s="664"/>
    </row>
    <row r="86" spans="1:35" x14ac:dyDescent="0.2">
      <c r="B86" s="19"/>
      <c r="C86" s="19"/>
      <c r="D86" s="19"/>
      <c r="E86" s="27"/>
      <c r="F86" s="19"/>
      <c r="G86" s="19"/>
      <c r="T86" s="664"/>
      <c r="U86" s="664"/>
      <c r="V86" s="664"/>
      <c r="W86" s="664"/>
      <c r="X86" s="664"/>
      <c r="Y86" s="664"/>
      <c r="Z86" s="664"/>
      <c r="AA86" s="664"/>
      <c r="AB86" s="664"/>
      <c r="AC86" s="664"/>
      <c r="AD86" s="664"/>
      <c r="AE86" s="664"/>
      <c r="AF86" s="664"/>
      <c r="AG86" s="664"/>
      <c r="AH86" s="664"/>
      <c r="AI86" s="664"/>
    </row>
  </sheetData>
  <sheetProtection algorithmName="SHA-512" hashValue="UafwQZGzzK9ZTUiCVgTOYUdY1i6WLcrRwmgSs99tsfvjxwMXmBtByfT0gHx/IY4zlgLXvuoONd/Nz/yY4WBX+A==" saltValue="KQSoGKSYOiiHSvwdsZV/ZA==" spinCount="100000" sheet="1" objects="1" scenarios="1" formatCells="0" formatColumns="0" formatRows="0" sort="0" autoFilter="0"/>
  <autoFilter ref="B9:N20"/>
  <customSheetViews>
    <customSheetView guid="{E26F941C-F347-432D-B4B3-73B25F002075}" scale="55" showPageBreaks="1" showGridLines="0" fitToPage="1" topLeftCell="A7">
      <selection activeCell="A15" sqref="A15:L18"/>
      <pageMargins left="0.56999999999999995" right="0.45" top="0.59" bottom="0.64" header="0.51181102362204722" footer="0.51181102362204722"/>
      <printOptions horizontalCentered="1"/>
      <pageSetup paperSize="9" scale="41" orientation="landscape" cellComments="asDisplayed" r:id="rId1"/>
      <headerFooter alignWithMargins="0">
        <oddFooter>&amp;L&amp;9SD 3.1A - Form, Ongoing DR/PU and LFA Review and Recommendation_v2.1 February 2006&amp;R&amp;9Page &amp;P of &amp;N</oddFooter>
      </headerFooter>
    </customSheetView>
  </customSheetViews>
  <mergeCells count="24">
    <mergeCell ref="E29:G29"/>
    <mergeCell ref="J7:K7"/>
    <mergeCell ref="B1:H1"/>
    <mergeCell ref="B26:H26"/>
    <mergeCell ref="B6:G6"/>
    <mergeCell ref="B7:E7"/>
    <mergeCell ref="G7:H7"/>
    <mergeCell ref="E24:G24"/>
    <mergeCell ref="E28:G28"/>
    <mergeCell ref="E25:G25"/>
    <mergeCell ref="E22:G22"/>
    <mergeCell ref="E21:G21"/>
    <mergeCell ref="E23:G23"/>
    <mergeCell ref="E27:G27"/>
    <mergeCell ref="B77:G77"/>
    <mergeCell ref="F79:H79"/>
    <mergeCell ref="I79:K79"/>
    <mergeCell ref="D73:G73"/>
    <mergeCell ref="D74:G74"/>
    <mergeCell ref="B31:G31"/>
    <mergeCell ref="B32:H32"/>
    <mergeCell ref="G33:H33"/>
    <mergeCell ref="J33:K33"/>
    <mergeCell ref="D72:G72"/>
  </mergeCells>
  <phoneticPr fontId="0" type="noConversion"/>
  <conditionalFormatting sqref="B84:C84">
    <cfRule type="cellIs" dxfId="116" priority="15" stopIfTrue="1" operator="notEqual">
      <formula>#REF!</formula>
    </cfRule>
    <cfRule type="cellIs" dxfId="115" priority="16" stopIfTrue="1" operator="notEqual">
      <formula>#REF!</formula>
    </cfRule>
  </conditionalFormatting>
  <conditionalFormatting sqref="B29:C29 B21:C23">
    <cfRule type="cellIs" dxfId="114" priority="42" stopIfTrue="1" operator="notEqual">
      <formula>#REF!</formula>
    </cfRule>
  </conditionalFormatting>
  <conditionalFormatting sqref="B25:C25 B27:C28">
    <cfRule type="cellIs" dxfId="113" priority="10" stopIfTrue="1" operator="notEqual">
      <formula>#REF!</formula>
    </cfRule>
  </conditionalFormatting>
  <conditionalFormatting sqref="B24:C24">
    <cfRule type="cellIs" dxfId="112" priority="8" stopIfTrue="1" operator="notEqual">
      <formula>#REF!</formula>
    </cfRule>
  </conditionalFormatting>
  <conditionalFormatting sqref="H23:I25 H27:I29">
    <cfRule type="cellIs" dxfId="111" priority="7" stopIfTrue="1" operator="notEqual">
      <formula>#REF!</formula>
    </cfRule>
  </conditionalFormatting>
  <conditionalFormatting sqref="B78:C78 B81 B30:C30">
    <cfRule type="cellIs" dxfId="110" priority="2" stopIfTrue="1" operator="notEqual">
      <formula>#REF!</formula>
    </cfRule>
    <cfRule type="cellIs" dxfId="109" priority="3" stopIfTrue="1" operator="notEqual">
      <formula>#REF!</formula>
    </cfRule>
  </conditionalFormatting>
  <conditionalFormatting sqref="B75:F75">
    <cfRule type="cellIs" dxfId="108" priority="1" stopIfTrue="1" operator="notEqual">
      <formula>#REF!</formula>
    </cfRule>
  </conditionalFormatting>
  <dataValidations count="8">
    <dataValidation type="list" allowBlank="1" showInputMessage="1" showErrorMessage="1" sqref="J36:J65 J10:J20">
      <formula1>"Select,Met,Unmet - In Progress,Unmet - Not started"</formula1>
    </dataValidation>
    <dataValidation type="date" allowBlank="1" showInputMessage="1" showErrorMessage="1" sqref="C82:C83">
      <formula1>39814</formula1>
      <formula2>43831</formula2>
    </dataValidation>
    <dataValidation type="list" allowBlank="1" showInputMessage="1" showErrorMessage="1" sqref="J82:J83">
      <formula1>"Submitted to GF, Preparation on track, Overdue"</formula1>
    </dataValidation>
    <dataValidation type="list" allowBlank="1" showInputMessage="1" showErrorMessage="1" sqref="D82:D83 G82:G83">
      <formula1>"Select,Submitted to GF, Preparation on track, Overdue"</formula1>
    </dataValidation>
    <dataValidation type="list" allowBlank="1" showInputMessage="1" showErrorMessage="1" sqref="G51:G66 D51:D66">
      <formula1>NewStatus</formula1>
    </dataValidation>
    <dataValidation type="list" allowBlank="1" showInputMessage="1" showErrorMessage="1" errorTitle="X-Author for Excel" error="Please select a value from the drop-down." promptTitle="X-Author for Excel" sqref="G10:G50">
      <formula1>IF(IFERROR(ROWS(INDIRECT(SUBSTITUTE("AIM_Grant_Requirement__c.AIM_Status_LFA__c"," ","_"))),-1) &lt; 0, XAuthorInvalidPicklistData,INDIRECT(SUBSTITUTE("AIM_Grant_Requirement__c.AIM_Status_LFA__c"," ","_")))</formula1>
    </dataValidation>
    <dataValidation type="list" allowBlank="1" showInputMessage="1" showErrorMessage="1" errorTitle="X-Author for Excel" error="Please select a value from the drop-down." promptTitle="X-Author for Excel" sqref="D10:D50">
      <formula1>IF(IFERROR(ROWS(INDIRECT(SUBSTITUTE("AIM_Grant_Requirement__c.AIM_Status_PR__c"," ","_"))),-1) &lt; 0, XAuthorInvalidPicklistData,INDIRECT(SUBSTITUTE("AIM_Grant_Requirement__c.AIM_Status_PR__c"," ","_")))</formula1>
    </dataValidation>
    <dataValidation type="custom" allowBlank="1" showInputMessage="1" showErrorMessage="1" errorTitle="X-Author for Excel" error="Id and Lookup fields are not editable." promptTitle="X-Author for Excel" sqref="N10:N20">
      <formula1>""</formula1>
    </dataValidation>
  </dataValidations>
  <printOptions horizontalCentered="1"/>
  <pageMargins left="0.25" right="0.25" top="0.75" bottom="0.75" header="0.3" footer="0.3"/>
  <pageSetup paperSize="9" scale="39" orientation="landscape" cellComments="asDisplayed" r:id="rId2"/>
  <headerFooter alignWithMargins="0">
    <oddFooter>&amp;L&amp;9&amp;A&amp;R&amp;9&amp;P</oddFooter>
  </headerFooter>
  <rowBreaks count="1" manualBreakCount="1">
    <brk id="25" max="15" man="1"/>
  </rowBreaks>
  <colBreaks count="1" manualBreakCount="1">
    <brk id="8" max="72"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A1:AB80"/>
  <sheetViews>
    <sheetView showGridLines="0" view="pageBreakPreview" zoomScale="90" zoomScaleNormal="60" zoomScaleSheetLayoutView="90" workbookViewId="0">
      <selection activeCell="A20" sqref="A20:O24"/>
    </sheetView>
  </sheetViews>
  <sheetFormatPr defaultColWidth="9.140625" defaultRowHeight="12.75" x14ac:dyDescent="0.2"/>
  <cols>
    <col min="1" max="1" width="12.140625" style="101" customWidth="1"/>
    <col min="2" max="2" width="28.85546875" style="101" customWidth="1"/>
    <col min="3" max="3" width="22.42578125" style="101" customWidth="1"/>
    <col min="4" max="4" width="16.85546875" style="101" customWidth="1"/>
    <col min="5" max="5" width="21.85546875" style="101" customWidth="1"/>
    <col min="6" max="6" width="15.85546875" style="101" customWidth="1"/>
    <col min="7" max="7" width="10.140625" style="101" customWidth="1"/>
    <col min="8" max="8" width="22.140625" style="101" customWidth="1"/>
    <col min="9" max="9" width="9.140625" style="101" customWidth="1"/>
    <col min="10" max="11" width="9.140625" style="101"/>
    <col min="12" max="12" width="3.140625" style="101" customWidth="1"/>
    <col min="13" max="14" width="9.140625" style="101"/>
    <col min="15" max="15" width="17.5703125" style="101" customWidth="1"/>
    <col min="16" max="16384" width="9.140625" style="101"/>
  </cols>
  <sheetData>
    <row r="1" spans="1:18" s="130" customFormat="1" ht="50.25" customHeight="1" x14ac:dyDescent="0.6">
      <c r="A1" s="1428" t="str">
        <f>IF(CoverSheet!J12="N/A","Progress Report","Progress Report with Disbursement Request")</f>
        <v>Progress Report with Disbursement Request</v>
      </c>
      <c r="B1" s="1428"/>
      <c r="C1" s="1428"/>
      <c r="D1" s="1428"/>
      <c r="E1" s="1428"/>
      <c r="F1" s="1428"/>
      <c r="G1" s="1428"/>
      <c r="H1" s="1428"/>
      <c r="I1" s="1428"/>
      <c r="J1" s="1428"/>
      <c r="K1" s="1428"/>
      <c r="L1" s="1428"/>
      <c r="M1" s="1428"/>
      <c r="N1" s="1428"/>
      <c r="O1" s="1428"/>
      <c r="P1" s="1428"/>
    </row>
    <row r="2" spans="1:18" ht="20.25" x14ac:dyDescent="0.3">
      <c r="A2" s="138" t="s">
        <v>246</v>
      </c>
      <c r="B2" s="141"/>
      <c r="C2" s="141"/>
      <c r="D2" s="141"/>
      <c r="E2" s="141"/>
      <c r="F2" s="141"/>
      <c r="G2" s="141"/>
      <c r="H2" s="141"/>
      <c r="I2" s="141"/>
      <c r="J2" s="141"/>
      <c r="K2" s="141"/>
      <c r="L2" s="140"/>
      <c r="M2" s="140"/>
      <c r="N2" s="140"/>
      <c r="O2" s="140"/>
    </row>
    <row r="3" spans="1:18" ht="20.25" x14ac:dyDescent="0.3">
      <c r="A3" s="54"/>
      <c r="B3" s="54"/>
      <c r="C3" s="54"/>
      <c r="D3" s="54"/>
      <c r="E3" s="54"/>
      <c r="F3" s="54"/>
      <c r="G3" s="54"/>
      <c r="H3" s="54"/>
      <c r="I3" s="54"/>
      <c r="J3" s="54"/>
      <c r="K3" s="54"/>
    </row>
    <row r="4" spans="1:18" ht="44.25" customHeight="1" x14ac:dyDescent="0.2">
      <c r="A4" s="1679" t="s">
        <v>247</v>
      </c>
      <c r="B4" s="1679"/>
      <c r="C4" s="1679"/>
      <c r="D4" s="1679"/>
      <c r="E4" s="1679"/>
      <c r="F4" s="1679"/>
      <c r="G4" s="1679"/>
      <c r="H4" s="1679"/>
      <c r="I4" s="1679"/>
      <c r="J4" s="1679"/>
      <c r="K4" s="1679"/>
      <c r="L4" s="1679"/>
      <c r="M4" s="1679"/>
      <c r="N4" s="1679"/>
      <c r="O4" s="1679"/>
    </row>
    <row r="5" spans="1:18" ht="31.5" customHeight="1" x14ac:dyDescent="0.2">
      <c r="A5" s="1658" t="s">
        <v>105</v>
      </c>
      <c r="B5" s="1659"/>
      <c r="C5" s="1659"/>
      <c r="D5" s="1659"/>
      <c r="E5" s="1659"/>
      <c r="F5" s="1659"/>
      <c r="G5" s="1659"/>
      <c r="H5" s="1659"/>
      <c r="I5" s="1659"/>
      <c r="J5" s="1659"/>
      <c r="K5" s="1659"/>
    </row>
    <row r="6" spans="1:18" ht="184.5" customHeight="1" x14ac:dyDescent="0.2">
      <c r="A6" s="1661" t="s">
        <v>1619</v>
      </c>
      <c r="B6" s="1662"/>
      <c r="C6" s="1662"/>
      <c r="D6" s="1662"/>
      <c r="E6" s="1662"/>
      <c r="F6" s="1662"/>
      <c r="G6" s="1662"/>
      <c r="H6" s="1662"/>
      <c r="I6" s="1662"/>
      <c r="J6" s="1662"/>
      <c r="K6" s="1662"/>
      <c r="L6" s="1662"/>
      <c r="M6" s="1662"/>
      <c r="N6" s="1662"/>
      <c r="O6" s="1663"/>
    </row>
    <row r="7" spans="1:18" ht="117" customHeight="1" x14ac:dyDescent="0.2">
      <c r="A7" s="1664"/>
      <c r="B7" s="1665"/>
      <c r="C7" s="1665"/>
      <c r="D7" s="1665"/>
      <c r="E7" s="1665"/>
      <c r="F7" s="1665"/>
      <c r="G7" s="1665"/>
      <c r="H7" s="1665"/>
      <c r="I7" s="1665"/>
      <c r="J7" s="1665"/>
      <c r="K7" s="1665"/>
      <c r="L7" s="1665"/>
      <c r="M7" s="1665"/>
      <c r="N7" s="1665"/>
      <c r="O7" s="1666"/>
    </row>
    <row r="8" spans="1:18" ht="81.75" customHeight="1" x14ac:dyDescent="0.2">
      <c r="A8" s="1664"/>
      <c r="B8" s="1665"/>
      <c r="C8" s="1665"/>
      <c r="D8" s="1665"/>
      <c r="E8" s="1665"/>
      <c r="F8" s="1665"/>
      <c r="G8" s="1665"/>
      <c r="H8" s="1665"/>
      <c r="I8" s="1665"/>
      <c r="J8" s="1665"/>
      <c r="K8" s="1665"/>
      <c r="L8" s="1665"/>
      <c r="M8" s="1665"/>
      <c r="N8" s="1665"/>
      <c r="O8" s="1666"/>
    </row>
    <row r="9" spans="1:18" s="8" customFormat="1" ht="132" customHeight="1" x14ac:dyDescent="0.2">
      <c r="A9" s="1664"/>
      <c r="B9" s="1665"/>
      <c r="C9" s="1665"/>
      <c r="D9" s="1665"/>
      <c r="E9" s="1665"/>
      <c r="F9" s="1665"/>
      <c r="G9" s="1665"/>
      <c r="H9" s="1665"/>
      <c r="I9" s="1665"/>
      <c r="J9" s="1665"/>
      <c r="K9" s="1665"/>
      <c r="L9" s="1665"/>
      <c r="M9" s="1665"/>
      <c r="N9" s="1665"/>
      <c r="O9" s="1666"/>
      <c r="P9" s="101"/>
      <c r="Q9" s="101"/>
      <c r="R9" s="101"/>
    </row>
    <row r="10" spans="1:18" ht="192" customHeight="1" x14ac:dyDescent="0.2">
      <c r="A10" s="1667"/>
      <c r="B10" s="1668"/>
      <c r="C10" s="1668"/>
      <c r="D10" s="1668"/>
      <c r="E10" s="1668"/>
      <c r="F10" s="1668"/>
      <c r="G10" s="1668"/>
      <c r="H10" s="1668"/>
      <c r="I10" s="1668"/>
      <c r="J10" s="1668"/>
      <c r="K10" s="1668"/>
      <c r="L10" s="1668"/>
      <c r="M10" s="1668"/>
      <c r="N10" s="1668"/>
      <c r="O10" s="1669"/>
    </row>
    <row r="11" spans="1:18" ht="25.5" customHeight="1" x14ac:dyDescent="0.3">
      <c r="A11" s="54"/>
      <c r="B11" s="54"/>
      <c r="C11" s="54"/>
      <c r="D11" s="54"/>
      <c r="E11" s="54"/>
      <c r="F11" s="54"/>
      <c r="G11" s="54"/>
      <c r="H11" s="54"/>
      <c r="I11" s="54"/>
      <c r="J11" s="54"/>
      <c r="K11" s="54"/>
    </row>
    <row r="12" spans="1:18" ht="25.5" customHeight="1" x14ac:dyDescent="0.2">
      <c r="A12" s="1660" t="s">
        <v>54</v>
      </c>
      <c r="B12" s="1660"/>
      <c r="C12" s="1660"/>
      <c r="D12" s="1660"/>
      <c r="E12" s="1660"/>
      <c r="F12" s="1660"/>
      <c r="G12" s="1660"/>
      <c r="H12" s="1660"/>
      <c r="I12" s="1660"/>
      <c r="J12" s="1660"/>
      <c r="K12" s="1660"/>
      <c r="L12" s="1660"/>
      <c r="M12" s="1660"/>
      <c r="N12" s="1660"/>
      <c r="O12" s="1660"/>
    </row>
    <row r="13" spans="1:18" ht="25.5" customHeight="1" x14ac:dyDescent="0.2">
      <c r="A13" s="1670" t="s">
        <v>778</v>
      </c>
      <c r="B13" s="1671"/>
      <c r="C13" s="1671"/>
      <c r="D13" s="1671"/>
      <c r="E13" s="1671"/>
      <c r="F13" s="1671"/>
      <c r="G13" s="1671"/>
      <c r="H13" s="1671"/>
      <c r="I13" s="1671"/>
      <c r="J13" s="1671"/>
      <c r="K13" s="1671"/>
      <c r="L13" s="1671"/>
      <c r="M13" s="1671"/>
      <c r="N13" s="1671"/>
      <c r="O13" s="1672"/>
    </row>
    <row r="14" spans="1:18" ht="25.5" customHeight="1" x14ac:dyDescent="0.2">
      <c r="A14" s="1673"/>
      <c r="B14" s="1674"/>
      <c r="C14" s="1674"/>
      <c r="D14" s="1674"/>
      <c r="E14" s="1674"/>
      <c r="F14" s="1674"/>
      <c r="G14" s="1674"/>
      <c r="H14" s="1674"/>
      <c r="I14" s="1674"/>
      <c r="J14" s="1674"/>
      <c r="K14" s="1674"/>
      <c r="L14" s="1674"/>
      <c r="M14" s="1674"/>
      <c r="N14" s="1674"/>
      <c r="O14" s="1675"/>
    </row>
    <row r="15" spans="1:18" ht="25.5" customHeight="1" x14ac:dyDescent="0.2">
      <c r="A15" s="1673"/>
      <c r="B15" s="1674"/>
      <c r="C15" s="1674"/>
      <c r="D15" s="1674"/>
      <c r="E15" s="1674"/>
      <c r="F15" s="1674"/>
      <c r="G15" s="1674"/>
      <c r="H15" s="1674"/>
      <c r="I15" s="1674"/>
      <c r="J15" s="1674"/>
      <c r="K15" s="1674"/>
      <c r="L15" s="1674"/>
      <c r="M15" s="1674"/>
      <c r="N15" s="1674"/>
      <c r="O15" s="1675"/>
    </row>
    <row r="16" spans="1:18" x14ac:dyDescent="0.2">
      <c r="A16" s="1673"/>
      <c r="B16" s="1674"/>
      <c r="C16" s="1674"/>
      <c r="D16" s="1674"/>
      <c r="E16" s="1674"/>
      <c r="F16" s="1674"/>
      <c r="G16" s="1674"/>
      <c r="H16" s="1674"/>
      <c r="I16" s="1674"/>
      <c r="J16" s="1674"/>
      <c r="K16" s="1674"/>
      <c r="L16" s="1674"/>
      <c r="M16" s="1674"/>
      <c r="N16" s="1674"/>
      <c r="O16" s="1675"/>
    </row>
    <row r="17" spans="1:15" ht="27" customHeight="1" x14ac:dyDescent="0.2">
      <c r="A17" s="1676"/>
      <c r="B17" s="1677"/>
      <c r="C17" s="1677"/>
      <c r="D17" s="1677"/>
      <c r="E17" s="1677"/>
      <c r="F17" s="1677"/>
      <c r="G17" s="1677"/>
      <c r="H17" s="1677"/>
      <c r="I17" s="1677"/>
      <c r="J17" s="1677"/>
      <c r="K17" s="1677"/>
      <c r="L17" s="1677"/>
      <c r="M17" s="1677"/>
      <c r="N17" s="1677"/>
      <c r="O17" s="1678"/>
    </row>
    <row r="18" spans="1:15" ht="21" customHeight="1" x14ac:dyDescent="0.2">
      <c r="A18" s="55"/>
      <c r="B18" s="55"/>
      <c r="C18" s="55"/>
      <c r="D18" s="55"/>
      <c r="E18" s="55"/>
      <c r="F18" s="55"/>
      <c r="G18" s="55"/>
      <c r="H18" s="55"/>
      <c r="I18" s="55"/>
      <c r="J18" s="55"/>
      <c r="K18" s="55"/>
    </row>
    <row r="19" spans="1:15" ht="25.5" customHeight="1" x14ac:dyDescent="0.2">
      <c r="A19" s="1660" t="s">
        <v>55</v>
      </c>
      <c r="B19" s="1660"/>
      <c r="C19" s="1660"/>
      <c r="D19" s="1660"/>
      <c r="E19" s="1660"/>
      <c r="F19" s="1660"/>
      <c r="G19" s="1660"/>
      <c r="H19" s="1660"/>
      <c r="I19" s="1660"/>
      <c r="J19" s="1660"/>
      <c r="K19" s="1660"/>
      <c r="L19" s="1660"/>
      <c r="M19" s="1660"/>
      <c r="N19" s="1660"/>
      <c r="O19" s="1660"/>
    </row>
    <row r="20" spans="1:15" ht="21" customHeight="1" x14ac:dyDescent="0.2">
      <c r="A20" s="1670" t="s">
        <v>778</v>
      </c>
      <c r="B20" s="1671"/>
      <c r="C20" s="1671"/>
      <c r="D20" s="1671"/>
      <c r="E20" s="1671"/>
      <c r="F20" s="1671"/>
      <c r="G20" s="1671"/>
      <c r="H20" s="1671"/>
      <c r="I20" s="1671"/>
      <c r="J20" s="1671"/>
      <c r="K20" s="1671"/>
      <c r="L20" s="1671"/>
      <c r="M20" s="1671"/>
      <c r="N20" s="1671"/>
      <c r="O20" s="1672"/>
    </row>
    <row r="21" spans="1:15" ht="21" customHeight="1" x14ac:dyDescent="0.2">
      <c r="A21" s="1673"/>
      <c r="B21" s="1674"/>
      <c r="C21" s="1674"/>
      <c r="D21" s="1674"/>
      <c r="E21" s="1674"/>
      <c r="F21" s="1674"/>
      <c r="G21" s="1674"/>
      <c r="H21" s="1674"/>
      <c r="I21" s="1674"/>
      <c r="J21" s="1674"/>
      <c r="K21" s="1674"/>
      <c r="L21" s="1674"/>
      <c r="M21" s="1674"/>
      <c r="N21" s="1674"/>
      <c r="O21" s="1675"/>
    </row>
    <row r="22" spans="1:15" ht="21" customHeight="1" x14ac:dyDescent="0.2">
      <c r="A22" s="1673"/>
      <c r="B22" s="1674"/>
      <c r="C22" s="1674"/>
      <c r="D22" s="1674"/>
      <c r="E22" s="1674"/>
      <c r="F22" s="1674"/>
      <c r="G22" s="1674"/>
      <c r="H22" s="1674"/>
      <c r="I22" s="1674"/>
      <c r="J22" s="1674"/>
      <c r="K22" s="1674"/>
      <c r="L22" s="1674"/>
      <c r="M22" s="1674"/>
      <c r="N22" s="1674"/>
      <c r="O22" s="1675"/>
    </row>
    <row r="23" spans="1:15" ht="12.75" customHeight="1" x14ac:dyDescent="0.2">
      <c r="A23" s="1673"/>
      <c r="B23" s="1674"/>
      <c r="C23" s="1674"/>
      <c r="D23" s="1674"/>
      <c r="E23" s="1674"/>
      <c r="F23" s="1674"/>
      <c r="G23" s="1674"/>
      <c r="H23" s="1674"/>
      <c r="I23" s="1674"/>
      <c r="J23" s="1674"/>
      <c r="K23" s="1674"/>
      <c r="L23" s="1674"/>
      <c r="M23" s="1674"/>
      <c r="N23" s="1674"/>
      <c r="O23" s="1675"/>
    </row>
    <row r="24" spans="1:15" ht="27.75" customHeight="1" x14ac:dyDescent="0.2">
      <c r="A24" s="1676"/>
      <c r="B24" s="1677"/>
      <c r="C24" s="1677"/>
      <c r="D24" s="1677"/>
      <c r="E24" s="1677"/>
      <c r="F24" s="1677"/>
      <c r="G24" s="1677"/>
      <c r="H24" s="1677"/>
      <c r="I24" s="1677"/>
      <c r="J24" s="1677"/>
      <c r="K24" s="1677"/>
      <c r="L24" s="1677"/>
      <c r="M24" s="1677"/>
      <c r="N24" s="1677"/>
      <c r="O24" s="1678"/>
    </row>
    <row r="25" spans="1:15" ht="27" customHeight="1" x14ac:dyDescent="0.2">
      <c r="A25" s="19"/>
      <c r="B25" s="19"/>
      <c r="C25" s="19"/>
      <c r="D25" s="19"/>
      <c r="E25" s="19"/>
      <c r="F25" s="19"/>
      <c r="G25" s="19"/>
      <c r="H25" s="19"/>
      <c r="I25" s="19"/>
      <c r="J25" s="19"/>
      <c r="K25" s="19"/>
    </row>
    <row r="26" spans="1:15" ht="27" customHeight="1" x14ac:dyDescent="0.4">
      <c r="A26" s="45" t="s">
        <v>102</v>
      </c>
      <c r="B26" s="104"/>
      <c r="C26" s="104"/>
      <c r="D26" s="104"/>
      <c r="E26" s="104"/>
      <c r="F26" s="104"/>
      <c r="G26" s="104"/>
      <c r="H26" s="104"/>
      <c r="I26" s="104"/>
      <c r="J26" s="104"/>
      <c r="K26" s="104"/>
      <c r="L26" s="104"/>
      <c r="M26" s="104"/>
      <c r="N26" s="104"/>
    </row>
    <row r="27" spans="1:15" ht="27" customHeight="1" x14ac:dyDescent="0.3">
      <c r="A27" s="56"/>
      <c r="B27" s="56"/>
      <c r="C27" s="56"/>
      <c r="D27" s="56"/>
      <c r="E27" s="56"/>
      <c r="F27" s="56"/>
      <c r="G27" s="57"/>
      <c r="H27" s="57"/>
      <c r="I27" s="57"/>
      <c r="J27" s="57"/>
      <c r="K27" s="58"/>
    </row>
    <row r="28" spans="1:15" ht="41.25" customHeight="1" x14ac:dyDescent="0.2">
      <c r="A28" s="1657" t="s">
        <v>106</v>
      </c>
      <c r="B28" s="1657"/>
      <c r="C28" s="1657"/>
      <c r="D28" s="1657"/>
      <c r="E28" s="1657"/>
      <c r="F28" s="1657"/>
      <c r="G28" s="1657"/>
      <c r="H28" s="1657"/>
      <c r="I28" s="1657"/>
      <c r="J28" s="1657"/>
      <c r="K28" s="1657"/>
      <c r="L28" s="1657"/>
      <c r="M28" s="1657"/>
      <c r="N28" s="1657"/>
      <c r="O28" s="1657"/>
    </row>
    <row r="29" spans="1:15" ht="27" customHeight="1" x14ac:dyDescent="0.2">
      <c r="A29" s="1658" t="s">
        <v>248</v>
      </c>
      <c r="B29" s="1659"/>
      <c r="C29" s="1659"/>
      <c r="D29" s="1659"/>
      <c r="E29" s="1659"/>
      <c r="F29" s="1659"/>
      <c r="G29" s="1659"/>
      <c r="H29" s="1659"/>
      <c r="I29" s="1659"/>
      <c r="J29" s="1659"/>
      <c r="K29" s="1659"/>
    </row>
    <row r="30" spans="1:15" ht="14.25" x14ac:dyDescent="0.2">
      <c r="A30" s="59"/>
      <c r="B30" s="60"/>
      <c r="C30" s="60"/>
      <c r="D30" s="60"/>
      <c r="E30" s="60"/>
      <c r="F30" s="60"/>
      <c r="G30" s="60"/>
      <c r="H30" s="60"/>
      <c r="I30" s="60"/>
      <c r="J30" s="60"/>
      <c r="K30" s="60"/>
    </row>
    <row r="31" spans="1:15" ht="71.25" x14ac:dyDescent="0.2">
      <c r="A31" s="103" t="s">
        <v>64</v>
      </c>
      <c r="B31" s="62" t="s">
        <v>46</v>
      </c>
      <c r="C31" s="63"/>
      <c r="D31" s="114" t="s">
        <v>65</v>
      </c>
      <c r="E31" s="904" t="s">
        <v>46</v>
      </c>
      <c r="F31" s="63"/>
      <c r="G31" s="114" t="s">
        <v>66</v>
      </c>
      <c r="H31" s="62" t="s">
        <v>46</v>
      </c>
      <c r="I31" s="63"/>
      <c r="J31" s="63"/>
      <c r="K31" s="63"/>
    </row>
    <row r="32" spans="1:15" ht="15" customHeight="1" x14ac:dyDescent="0.2">
      <c r="A32" s="61"/>
      <c r="B32" s="105"/>
      <c r="C32" s="63"/>
      <c r="D32" s="64"/>
      <c r="E32" s="105"/>
      <c r="F32" s="63"/>
      <c r="G32" s="63"/>
      <c r="H32" s="105"/>
      <c r="I32" s="63"/>
      <c r="J32" s="63"/>
      <c r="K32" s="63"/>
    </row>
    <row r="33" spans="1:28" ht="33" customHeight="1" x14ac:dyDescent="0.2">
      <c r="A33" s="1681"/>
      <c r="B33" s="1681"/>
      <c r="C33" s="1681"/>
      <c r="D33" s="1681"/>
      <c r="E33" s="1681"/>
      <c r="F33" s="1681"/>
      <c r="G33" s="1681"/>
      <c r="H33" s="1681"/>
      <c r="I33" s="1681"/>
      <c r="J33" s="1681"/>
      <c r="K33" s="1681"/>
      <c r="L33" s="1681"/>
      <c r="M33" s="1681"/>
      <c r="N33" s="1681"/>
      <c r="O33" s="1681"/>
    </row>
    <row r="34" spans="1:28" ht="53.25" customHeight="1" x14ac:dyDescent="0.2">
      <c r="A34" s="1681"/>
      <c r="B34" s="1681"/>
      <c r="C34" s="1681"/>
      <c r="D34" s="1681"/>
      <c r="E34" s="1681"/>
      <c r="F34" s="1681"/>
      <c r="G34" s="1681"/>
      <c r="H34" s="1681"/>
      <c r="I34" s="1681"/>
      <c r="J34" s="1681"/>
      <c r="K34" s="1681"/>
      <c r="L34" s="1681"/>
      <c r="M34" s="1681"/>
      <c r="N34" s="1681"/>
      <c r="O34" s="1681"/>
    </row>
    <row r="35" spans="1:28" hidden="1" x14ac:dyDescent="0.2">
      <c r="A35" s="1681"/>
      <c r="B35" s="1681"/>
      <c r="C35" s="1681"/>
      <c r="D35" s="1681"/>
      <c r="E35" s="1681"/>
      <c r="F35" s="1681"/>
      <c r="G35" s="1681"/>
      <c r="H35" s="1681"/>
      <c r="I35" s="1681"/>
      <c r="J35" s="1681"/>
      <c r="K35" s="1681"/>
      <c r="L35" s="1681"/>
      <c r="M35" s="1681"/>
      <c r="N35" s="1681"/>
      <c r="O35" s="1681"/>
    </row>
    <row r="36" spans="1:28" ht="72" customHeight="1" x14ac:dyDescent="0.2">
      <c r="A36" s="1681"/>
      <c r="B36" s="1681"/>
      <c r="C36" s="1681"/>
      <c r="D36" s="1681"/>
      <c r="E36" s="1681"/>
      <c r="F36" s="1681"/>
      <c r="G36" s="1681"/>
      <c r="H36" s="1681"/>
      <c r="I36" s="1681"/>
      <c r="J36" s="1681"/>
      <c r="K36" s="1681"/>
      <c r="L36" s="1681"/>
      <c r="M36" s="1681"/>
      <c r="N36" s="1681"/>
      <c r="O36" s="1681"/>
    </row>
    <row r="37" spans="1:28" x14ac:dyDescent="0.2">
      <c r="A37" s="1681"/>
      <c r="B37" s="1681"/>
      <c r="C37" s="1681"/>
      <c r="D37" s="1681"/>
      <c r="E37" s="1681"/>
      <c r="F37" s="1681"/>
      <c r="G37" s="1681"/>
      <c r="H37" s="1681"/>
      <c r="I37" s="1681"/>
      <c r="J37" s="1681"/>
      <c r="K37" s="1681"/>
      <c r="L37" s="1681"/>
      <c r="M37" s="1681"/>
      <c r="N37" s="1681"/>
      <c r="O37" s="1681"/>
    </row>
    <row r="38" spans="1:28" ht="21" customHeight="1" x14ac:dyDescent="0.2">
      <c r="A38" s="1681"/>
      <c r="B38" s="1681"/>
      <c r="C38" s="1681"/>
      <c r="D38" s="1681"/>
      <c r="E38" s="1681"/>
      <c r="F38" s="1681"/>
      <c r="G38" s="1681"/>
      <c r="H38" s="1681"/>
      <c r="I38" s="1681"/>
      <c r="J38" s="1681"/>
      <c r="K38" s="1681"/>
      <c r="L38" s="1681"/>
      <c r="M38" s="1681"/>
      <c r="N38" s="1681"/>
      <c r="O38" s="1681"/>
    </row>
    <row r="39" spans="1:28" ht="21" customHeight="1" x14ac:dyDescent="0.2">
      <c r="A39" s="68"/>
    </row>
    <row r="40" spans="1:28" ht="33" customHeight="1" x14ac:dyDescent="0.25">
      <c r="A40" s="1683" t="s">
        <v>249</v>
      </c>
      <c r="B40" s="1684"/>
      <c r="C40" s="1684"/>
      <c r="D40" s="1684"/>
      <c r="E40" s="1684"/>
      <c r="F40" s="1684"/>
      <c r="G40" s="1684"/>
      <c r="H40" s="1684"/>
      <c r="I40" s="1684"/>
      <c r="J40" s="1684"/>
      <c r="K40" s="1684"/>
      <c r="L40" s="1684"/>
      <c r="M40" s="1684"/>
      <c r="N40" s="1684"/>
      <c r="O40" s="1685"/>
    </row>
    <row r="41" spans="1:28" ht="21" customHeight="1" x14ac:dyDescent="0.2">
      <c r="A41" s="1681"/>
      <c r="B41" s="1681"/>
      <c r="C41" s="1681"/>
      <c r="D41" s="1681"/>
      <c r="E41" s="1681"/>
      <c r="F41" s="1681"/>
      <c r="G41" s="1681"/>
      <c r="H41" s="1681"/>
      <c r="I41" s="1681"/>
      <c r="J41" s="1681"/>
      <c r="K41" s="1681"/>
      <c r="L41" s="1682"/>
      <c r="M41" s="1682"/>
      <c r="N41" s="1682"/>
      <c r="O41" s="1682"/>
    </row>
    <row r="42" spans="1:28" ht="21" customHeight="1" x14ac:dyDescent="0.2">
      <c r="A42" s="1681"/>
      <c r="B42" s="1681"/>
      <c r="C42" s="1681"/>
      <c r="D42" s="1681"/>
      <c r="E42" s="1681"/>
      <c r="F42" s="1681"/>
      <c r="G42" s="1681"/>
      <c r="H42" s="1681"/>
      <c r="I42" s="1681"/>
      <c r="J42" s="1681"/>
      <c r="K42" s="1681"/>
      <c r="L42" s="1682"/>
      <c r="M42" s="1682"/>
      <c r="N42" s="1682"/>
      <c r="O42" s="1682"/>
    </row>
    <row r="43" spans="1:28" ht="21" customHeight="1" x14ac:dyDescent="0.2">
      <c r="A43" s="1681"/>
      <c r="B43" s="1681"/>
      <c r="C43" s="1681"/>
      <c r="D43" s="1681"/>
      <c r="E43" s="1681"/>
      <c r="F43" s="1681"/>
      <c r="G43" s="1681"/>
      <c r="H43" s="1681"/>
      <c r="I43" s="1681"/>
      <c r="J43" s="1681"/>
      <c r="K43" s="1681"/>
      <c r="L43" s="1682"/>
      <c r="M43" s="1682"/>
      <c r="N43" s="1682"/>
      <c r="O43" s="1682"/>
    </row>
    <row r="44" spans="1:28" x14ac:dyDescent="0.2">
      <c r="A44" s="1681"/>
      <c r="B44" s="1681"/>
      <c r="C44" s="1681"/>
      <c r="D44" s="1681"/>
      <c r="E44" s="1681"/>
      <c r="F44" s="1681"/>
      <c r="G44" s="1681"/>
      <c r="H44" s="1681"/>
      <c r="I44" s="1681"/>
      <c r="J44" s="1681"/>
      <c r="K44" s="1681"/>
      <c r="L44" s="1682"/>
      <c r="M44" s="1682"/>
      <c r="N44" s="1682"/>
      <c r="O44" s="1682"/>
    </row>
    <row r="45" spans="1:28" ht="24" customHeight="1" x14ac:dyDescent="0.2">
      <c r="A45" s="1681"/>
      <c r="B45" s="1681"/>
      <c r="C45" s="1681"/>
      <c r="D45" s="1681"/>
      <c r="E45" s="1681"/>
      <c r="F45" s="1681"/>
      <c r="G45" s="1681"/>
      <c r="H45" s="1681"/>
      <c r="I45" s="1681"/>
      <c r="J45" s="1681"/>
      <c r="K45" s="1681"/>
      <c r="L45" s="1682"/>
      <c r="M45" s="1682"/>
      <c r="N45" s="1682"/>
      <c r="O45" s="1682"/>
      <c r="P45" s="65"/>
      <c r="Q45" s="65"/>
      <c r="R45" s="65"/>
      <c r="S45" s="65"/>
      <c r="T45" s="65"/>
      <c r="U45" s="65"/>
      <c r="V45" s="65"/>
      <c r="W45" s="65"/>
      <c r="X45" s="65"/>
      <c r="Y45" s="65"/>
      <c r="Z45" s="30"/>
      <c r="AA45" s="30"/>
      <c r="AB45" s="30"/>
    </row>
    <row r="46" spans="1:28" ht="21.75" customHeight="1" x14ac:dyDescent="0.2">
      <c r="A46" s="1681"/>
      <c r="B46" s="1681"/>
      <c r="C46" s="1681"/>
      <c r="D46" s="1681"/>
      <c r="E46" s="1681"/>
      <c r="F46" s="1681"/>
      <c r="G46" s="1681"/>
      <c r="H46" s="1681"/>
      <c r="I46" s="1681"/>
      <c r="J46" s="1681"/>
      <c r="K46" s="1681"/>
      <c r="L46" s="1682"/>
      <c r="M46" s="1682"/>
      <c r="N46" s="1682"/>
      <c r="O46" s="1682"/>
    </row>
    <row r="47" spans="1:28" ht="21.75" customHeight="1" x14ac:dyDescent="0.2">
      <c r="A47" s="50"/>
      <c r="B47" s="50"/>
      <c r="C47" s="50"/>
      <c r="D47" s="50"/>
      <c r="E47" s="50"/>
      <c r="F47" s="50"/>
      <c r="G47" s="50"/>
      <c r="H47" s="50"/>
      <c r="I47" s="50"/>
      <c r="J47" s="50"/>
      <c r="K47" s="50"/>
      <c r="L47" s="65"/>
      <c r="M47" s="65"/>
      <c r="N47" s="65"/>
    </row>
    <row r="48" spans="1:28" ht="21.75" customHeight="1" x14ac:dyDescent="0.2">
      <c r="A48" s="66"/>
      <c r="B48" s="66"/>
      <c r="C48" s="66"/>
      <c r="D48" s="66"/>
      <c r="E48" s="66"/>
      <c r="F48" s="66"/>
      <c r="G48" s="66"/>
      <c r="H48" s="66"/>
      <c r="I48" s="66"/>
      <c r="J48" s="66"/>
      <c r="K48" s="67"/>
    </row>
    <row r="49" spans="1:24" ht="30.75" customHeight="1" x14ac:dyDescent="0.2">
      <c r="A49" s="93" t="s">
        <v>56</v>
      </c>
      <c r="B49" s="93"/>
      <c r="C49" s="93"/>
      <c r="D49" s="93"/>
      <c r="E49" s="93"/>
      <c r="F49" s="93"/>
      <c r="G49" s="93"/>
      <c r="H49" s="93"/>
      <c r="I49" s="93"/>
      <c r="J49" s="93"/>
      <c r="K49" s="93"/>
      <c r="L49" s="93"/>
      <c r="M49" s="93"/>
      <c r="N49" s="93"/>
      <c r="O49" s="93"/>
    </row>
    <row r="50" spans="1:24" ht="21.75" customHeight="1" x14ac:dyDescent="0.2">
      <c r="A50" s="1681"/>
      <c r="B50" s="1681"/>
      <c r="C50" s="1681"/>
      <c r="D50" s="1681"/>
      <c r="E50" s="1681"/>
      <c r="F50" s="1681"/>
      <c r="G50" s="1681"/>
      <c r="H50" s="1681"/>
      <c r="I50" s="1681"/>
      <c r="J50" s="1681"/>
      <c r="K50" s="1681"/>
      <c r="L50" s="1686"/>
      <c r="M50" s="1686"/>
      <c r="N50" s="1686"/>
      <c r="O50" s="1686"/>
    </row>
    <row r="51" spans="1:24" ht="21.75" customHeight="1" x14ac:dyDescent="0.2">
      <c r="A51" s="1681"/>
      <c r="B51" s="1681"/>
      <c r="C51" s="1681"/>
      <c r="D51" s="1681"/>
      <c r="E51" s="1681"/>
      <c r="F51" s="1681"/>
      <c r="G51" s="1681"/>
      <c r="H51" s="1681"/>
      <c r="I51" s="1681"/>
      <c r="J51" s="1681"/>
      <c r="K51" s="1681"/>
      <c r="L51" s="1686"/>
      <c r="M51" s="1686"/>
      <c r="N51" s="1686"/>
      <c r="O51" s="1686"/>
    </row>
    <row r="52" spans="1:24" x14ac:dyDescent="0.2">
      <c r="A52" s="1681"/>
      <c r="B52" s="1681"/>
      <c r="C52" s="1681"/>
      <c r="D52" s="1681"/>
      <c r="E52" s="1681"/>
      <c r="F52" s="1681"/>
      <c r="G52" s="1681"/>
      <c r="H52" s="1681"/>
      <c r="I52" s="1681"/>
      <c r="J52" s="1681"/>
      <c r="K52" s="1681"/>
      <c r="L52" s="1686"/>
      <c r="M52" s="1686"/>
      <c r="N52" s="1686"/>
      <c r="O52" s="1686"/>
    </row>
    <row r="53" spans="1:24" x14ac:dyDescent="0.2">
      <c r="A53" s="1681"/>
      <c r="B53" s="1681"/>
      <c r="C53" s="1681"/>
      <c r="D53" s="1681"/>
      <c r="E53" s="1681"/>
      <c r="F53" s="1681"/>
      <c r="G53" s="1681"/>
      <c r="H53" s="1681"/>
      <c r="I53" s="1681"/>
      <c r="J53" s="1681"/>
      <c r="K53" s="1681"/>
      <c r="L53" s="1686"/>
      <c r="M53" s="1686"/>
      <c r="N53" s="1686"/>
      <c r="O53" s="1686"/>
    </row>
    <row r="54" spans="1:24" s="70" customFormat="1" ht="22.5" customHeight="1" x14ac:dyDescent="0.25">
      <c r="A54" s="1681"/>
      <c r="B54" s="1681"/>
      <c r="C54" s="1681"/>
      <c r="D54" s="1681"/>
      <c r="E54" s="1681"/>
      <c r="F54" s="1681"/>
      <c r="G54" s="1681"/>
      <c r="H54" s="1681"/>
      <c r="I54" s="1681"/>
      <c r="J54" s="1681"/>
      <c r="K54" s="1681"/>
      <c r="L54" s="1686"/>
      <c r="M54" s="1686"/>
      <c r="N54" s="1686"/>
      <c r="O54" s="1686"/>
    </row>
    <row r="55" spans="1:24" ht="23.25" customHeight="1" x14ac:dyDescent="0.2">
      <c r="A55" s="1681"/>
      <c r="B55" s="1681"/>
      <c r="C55" s="1681"/>
      <c r="D55" s="1681"/>
      <c r="E55" s="1681"/>
      <c r="F55" s="1681"/>
      <c r="G55" s="1681"/>
      <c r="H55" s="1681"/>
      <c r="I55" s="1681"/>
      <c r="J55" s="1681"/>
      <c r="K55" s="1681"/>
      <c r="L55" s="1686"/>
      <c r="M55" s="1686"/>
      <c r="N55" s="1686"/>
      <c r="O55" s="1686"/>
      <c r="X55" s="20"/>
    </row>
    <row r="56" spans="1:24" ht="23.25" customHeight="1" x14ac:dyDescent="0.2">
      <c r="A56" s="68"/>
      <c r="B56" s="68"/>
      <c r="C56" s="68"/>
      <c r="D56" s="68"/>
      <c r="E56" s="68"/>
      <c r="F56" s="68"/>
      <c r="G56" s="68"/>
      <c r="H56" s="68"/>
      <c r="I56" s="68"/>
      <c r="J56" s="68"/>
      <c r="K56" s="69"/>
      <c r="X56" s="20"/>
    </row>
    <row r="57" spans="1:24" ht="23.25" customHeight="1" x14ac:dyDescent="0.2">
      <c r="A57" s="1680"/>
      <c r="B57" s="1680"/>
      <c r="C57" s="1680"/>
      <c r="D57" s="1680"/>
      <c r="E57" s="1680"/>
      <c r="F57" s="1680"/>
      <c r="G57" s="1680"/>
      <c r="H57" s="1680"/>
      <c r="I57" s="1680"/>
      <c r="J57" s="1680"/>
      <c r="K57" s="1680"/>
      <c r="X57" s="20"/>
    </row>
    <row r="58" spans="1:24" ht="23.25" customHeight="1" x14ac:dyDescent="0.2">
      <c r="X58" s="20"/>
    </row>
    <row r="59" spans="1:24" ht="23.25" customHeight="1" x14ac:dyDescent="0.2">
      <c r="X59" s="20"/>
    </row>
    <row r="60" spans="1:24" ht="23.25" customHeight="1" x14ac:dyDescent="0.2"/>
    <row r="71" spans="1:3" x14ac:dyDescent="0.2">
      <c r="A71" s="519"/>
      <c r="B71" s="519"/>
      <c r="C71" s="519"/>
    </row>
    <row r="72" spans="1:3" x14ac:dyDescent="0.2">
      <c r="A72" s="519"/>
      <c r="B72" s="519"/>
      <c r="C72" s="519"/>
    </row>
    <row r="73" spans="1:3" hidden="1" x14ac:dyDescent="0.2">
      <c r="A73" s="519" t="s">
        <v>356</v>
      </c>
      <c r="B73" s="519" t="s">
        <v>969</v>
      </c>
      <c r="C73" s="519"/>
    </row>
    <row r="74" spans="1:3" hidden="1" x14ac:dyDescent="0.2">
      <c r="A74" s="519" t="s">
        <v>392</v>
      </c>
      <c r="B74" s="1163" t="str">
        <f>IF(B31="Select","",B31)</f>
        <v/>
      </c>
      <c r="C74" s="519"/>
    </row>
    <row r="75" spans="1:3" hidden="1" x14ac:dyDescent="0.2">
      <c r="A75" s="519" t="s">
        <v>393</v>
      </c>
      <c r="B75" s="1163" t="str">
        <f>IF(E31="Select","",E31)</f>
        <v/>
      </c>
      <c r="C75" s="519"/>
    </row>
    <row r="76" spans="1:3" hidden="1" x14ac:dyDescent="0.2">
      <c r="A76" s="519" t="s">
        <v>394</v>
      </c>
      <c r="B76" s="1163" t="str">
        <f>IF(H31="Select","",H31)</f>
        <v/>
      </c>
      <c r="C76" s="519"/>
    </row>
    <row r="77" spans="1:3" x14ac:dyDescent="0.2">
      <c r="A77" s="519"/>
      <c r="B77" s="519"/>
      <c r="C77" s="519"/>
    </row>
    <row r="78" spans="1:3" x14ac:dyDescent="0.2">
      <c r="A78" s="519"/>
      <c r="B78" s="519"/>
      <c r="C78" s="519"/>
    </row>
    <row r="79" spans="1:3" x14ac:dyDescent="0.2">
      <c r="A79" s="519"/>
      <c r="B79" s="519"/>
      <c r="C79" s="519"/>
    </row>
    <row r="80" spans="1:3" x14ac:dyDescent="0.2">
      <c r="A80" s="519"/>
      <c r="B80" s="519"/>
      <c r="C80" s="519"/>
    </row>
  </sheetData>
  <sheetProtection algorithmName="SHA-512" hashValue="MagMtCPW1defBkW0ShNj6/+kqwSyphJmJm5yciK2DvyHlwqxbe5Vj7aPBD8s0/jHZPK5ayQ3d2QE9R/0tNhDvA==" saltValue="juo2b2G05w22VtC+l1xVKA==" spinCount="100000" sheet="1" objects="1" scenarios="1" formatColumns="0" formatRows="0" sort="0" autoFilter="0"/>
  <mergeCells count="15">
    <mergeCell ref="A57:K57"/>
    <mergeCell ref="A41:O46"/>
    <mergeCell ref="A40:O40"/>
    <mergeCell ref="A50:O55"/>
    <mergeCell ref="A33:O38"/>
    <mergeCell ref="A28:O28"/>
    <mergeCell ref="A29:K29"/>
    <mergeCell ref="A19:O19"/>
    <mergeCell ref="A6:O10"/>
    <mergeCell ref="A1:P1"/>
    <mergeCell ref="A13:O17"/>
    <mergeCell ref="A20:O24"/>
    <mergeCell ref="A5:K5"/>
    <mergeCell ref="A12:O12"/>
    <mergeCell ref="A4:O4"/>
  </mergeCells>
  <phoneticPr fontId="18" type="noConversion"/>
  <dataValidations count="6">
    <dataValidation type="list" allowBlank="1" showInputMessage="1" showErrorMessage="1" sqref="B31:B32 H31:H32">
      <formula1>"Select, A1, A2, B1, B2, C"</formula1>
    </dataValidation>
    <dataValidation type="list" allowBlank="1" showInputMessage="1" showErrorMessage="1" sqref="E31:E32">
      <formula1>"Select, Yes, No"</formula1>
    </dataValidation>
    <dataValidation type="custom" allowBlank="1" showInputMessage="1" showErrorMessage="1" errorTitle="X-Author for Excel" error="Id and Lookup fields are not editable." promptTitle="X-Author for Excel" sqref="B73">
      <formula1>""</formula1>
    </dataValidation>
    <dataValidation type="list" allowBlank="1" showInputMessage="1" showErrorMessage="1" errorTitle="X-Author for Excel" error="Please select a value from the drop-down." promptTitle="X-Author for Excel" sqref="B75">
      <formula1>IF(IFERROR(ROWS(INDIRECT(SUBSTITUTE("AIM_Performance__c.AIM_Major_Issues_Identified_LFA__c"," ","_"))),-1) &lt; 0, XAuthorInvalidPicklistData,INDIRECT(SUBSTITUTE("AIM_Performance__c.AIM_Major_Issues_Identified_LFA__c"," ","_")))</formula1>
    </dataValidation>
    <dataValidation type="list" allowBlank="1" showInputMessage="1" showErrorMessage="1" errorTitle="X-Author for Excel" error="Please select a value from the drop-down." promptTitle="X-Author for Excel" sqref="B76">
      <formula1>IF(IFERROR(ROWS(INDIRECT(SUBSTITUTE("AIM_Performance__c.AIM_Overall_Rating_LFA__c"," ","_"))),-1) &lt; 0, XAuthorInvalidPicklistData,INDIRECT(SUBSTITUTE("AIM_Performance__c.AIM_Overall_Rating_LFA__c"," ","_")))</formula1>
    </dataValidation>
    <dataValidation type="list" allowBlank="1" showInputMessage="1" showErrorMessage="1" errorTitle="X-Author for Excel" error="Please select a value from the drop-down." promptTitle="X-Author for Excel" sqref="B74">
      <formula1>IF(IFERROR(ROWS(INDIRECT(SUBSTITUTE("AIM_Performance__c.AIM_Quantitative_Indicator_LFA__c"," ","_"))),-1) &lt; 0, XAuthorInvalidPicklistData,INDIRECT(SUBSTITUTE("AIM_Performance__c.AIM_Quantitative_Indicator_LFA__c"," ","_")))</formula1>
    </dataValidation>
  </dataValidations>
  <printOptions horizontalCentered="1" verticalCentered="1"/>
  <pageMargins left="0.23622047244094491" right="0.23622047244094491" top="0.74803149606299213" bottom="0.74803149606299213" header="0.31496062992125984" footer="0.31496062992125984"/>
  <pageSetup paperSize="9" scale="62" fitToHeight="0" orientation="landscape" cellComments="asDisplayed" r:id="rId1"/>
  <headerFooter>
    <oddFooter>&amp;L&amp;9&amp;A&amp;R&amp;9&amp;P</oddFooter>
  </headerFooter>
  <rowBreaks count="1" manualBreakCount="1">
    <brk id="25"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tint="0.59999389629810485"/>
  </sheetPr>
  <dimension ref="A1:N54"/>
  <sheetViews>
    <sheetView view="pageBreakPreview" zoomScale="60" zoomScaleNormal="90" zoomScalePageLayoutView="55" workbookViewId="0">
      <selection activeCell="A9" sqref="A9"/>
    </sheetView>
  </sheetViews>
  <sheetFormatPr defaultColWidth="9.140625" defaultRowHeight="12.75" x14ac:dyDescent="0.2"/>
  <cols>
    <col min="1" max="1" width="44.85546875" style="20" customWidth="1"/>
    <col min="2" max="2" width="65" style="20" customWidth="1"/>
    <col min="3" max="3" width="79.85546875" style="20" customWidth="1"/>
    <col min="4" max="4" width="20.140625" style="84" hidden="1" customWidth="1"/>
    <col min="5" max="5" width="7.85546875" style="535" hidden="1" customWidth="1"/>
    <col min="6" max="6" width="9.85546875" style="500" hidden="1" customWidth="1"/>
    <col min="7" max="7" width="11.42578125" style="500" hidden="1" customWidth="1"/>
    <col min="8" max="8" width="20.5703125" style="500" hidden="1" customWidth="1"/>
    <col min="9" max="9" width="0.140625" style="535" customWidth="1"/>
    <col min="10" max="14" width="9.140625" style="535"/>
    <col min="15" max="16384" width="9.140625" style="20"/>
  </cols>
  <sheetData>
    <row r="1" spans="1:14" s="108" customFormat="1" ht="42" customHeight="1" x14ac:dyDescent="0.4">
      <c r="A1" s="1687" t="str">
        <f>IF(CoverSheet!J12="N/A","Progress Report","Progress Report with Disbursement Request")</f>
        <v>Progress Report with Disbursement Request</v>
      </c>
      <c r="B1" s="1687"/>
      <c r="C1" s="1687"/>
      <c r="D1" s="1687"/>
      <c r="E1" s="535"/>
      <c r="F1" s="536"/>
      <c r="G1" s="536"/>
      <c r="H1" s="536"/>
      <c r="I1" s="534"/>
      <c r="J1" s="534"/>
      <c r="K1" s="534"/>
      <c r="L1" s="534"/>
      <c r="M1" s="534"/>
      <c r="N1" s="534"/>
    </row>
    <row r="2" spans="1:14" x14ac:dyDescent="0.2">
      <c r="A2" s="2"/>
      <c r="B2" s="2"/>
      <c r="C2" s="2"/>
      <c r="D2" s="53"/>
    </row>
    <row r="3" spans="1:14" ht="37.5" customHeight="1" x14ac:dyDescent="0.2">
      <c r="A3" s="85" t="s">
        <v>102</v>
      </c>
      <c r="B3" s="72"/>
      <c r="C3" s="73"/>
      <c r="D3" s="75"/>
    </row>
    <row r="4" spans="1:14" ht="45" customHeight="1" x14ac:dyDescent="0.2">
      <c r="A4" s="76" t="s">
        <v>108</v>
      </c>
      <c r="B4" s="77"/>
      <c r="C4" s="78"/>
      <c r="D4" s="79"/>
    </row>
    <row r="5" spans="1:14" ht="1.5" customHeight="1" x14ac:dyDescent="0.25">
      <c r="A5" s="80"/>
      <c r="B5" s="80"/>
      <c r="C5" s="81"/>
      <c r="D5" s="82"/>
      <c r="F5" s="537"/>
      <c r="G5" s="537"/>
      <c r="H5" s="537"/>
    </row>
    <row r="6" spans="1:14" ht="69" customHeight="1" x14ac:dyDescent="0.2">
      <c r="A6" s="1688" t="s">
        <v>107</v>
      </c>
      <c r="B6" s="1689"/>
      <c r="C6" s="1689"/>
      <c r="D6" s="1689"/>
    </row>
    <row r="7" spans="1:14" ht="9.6" customHeight="1" x14ac:dyDescent="0.2">
      <c r="A7" s="74"/>
      <c r="B7" s="74"/>
      <c r="C7" s="74"/>
      <c r="D7" s="83"/>
    </row>
    <row r="8" spans="1:14" ht="0.6" customHeight="1" x14ac:dyDescent="0.2">
      <c r="A8" s="532"/>
      <c r="B8" s="532"/>
      <c r="C8" s="532"/>
      <c r="D8" s="614"/>
      <c r="E8" s="541"/>
      <c r="F8" s="533"/>
      <c r="G8" s="533"/>
      <c r="H8" s="533"/>
      <c r="I8" s="538"/>
    </row>
    <row r="9" spans="1:14" ht="58.35" customHeight="1" x14ac:dyDescent="0.2">
      <c r="A9" s="813" t="s">
        <v>379</v>
      </c>
      <c r="B9" s="813" t="s">
        <v>384</v>
      </c>
      <c r="C9" s="813" t="s">
        <v>385</v>
      </c>
      <c r="D9" s="622" t="s">
        <v>211</v>
      </c>
      <c r="E9" s="623" t="s">
        <v>553</v>
      </c>
      <c r="F9" s="623" t="s">
        <v>380</v>
      </c>
      <c r="G9" s="623" t="s">
        <v>378</v>
      </c>
      <c r="H9" s="623" t="s">
        <v>356</v>
      </c>
      <c r="I9" s="540"/>
    </row>
    <row r="10" spans="1:14" ht="15" hidden="1" x14ac:dyDescent="0.2">
      <c r="A10" s="1174" t="s">
        <v>46</v>
      </c>
      <c r="B10" s="1186" t="s">
        <v>376</v>
      </c>
      <c r="C10" s="1186" t="s">
        <v>377</v>
      </c>
      <c r="D10" s="626"/>
      <c r="E10" s="625" t="str">
        <f>IF(OR(A10&lt;&gt;"",B10&lt;&gt;"",C10&lt;&gt;""),'Admin Sheet'!$B$44,"")</f>
        <v>a1Y36000002VIYcEAO</v>
      </c>
      <c r="F10" s="625" t="str">
        <f>IF(OR(A10&lt;&gt;"",B10&lt;&gt;"",C10&lt;&gt;""),'Admin Sheet'!$B$37,"")</f>
        <v>01236000000OMQ7AAO</v>
      </c>
      <c r="G10" s="625" t="str">
        <f>IF(OR(A10&lt;&gt;"",B10&lt;&gt;"",C10&lt;&gt;""),'Admin Sheet'!$B$41,"")</f>
        <v>a1K36000002CzmrEAC</v>
      </c>
      <c r="H10" s="625" t="s">
        <v>355</v>
      </c>
      <c r="I10" s="627"/>
    </row>
    <row r="11" spans="1:14" ht="15" x14ac:dyDescent="0.2">
      <c r="A11" s="1174"/>
      <c r="B11" s="1186"/>
      <c r="C11" s="1186"/>
      <c r="D11" s="626"/>
      <c r="E11" s="625" t="str">
        <f>IF(OR(A11&lt;&gt;"",B11&lt;&gt;"",C11&lt;&gt;""),'Admin Sheet'!$B$44,"")</f>
        <v/>
      </c>
      <c r="F11" s="625" t="str">
        <f>IF(OR(A11&lt;&gt;"",B11&lt;&gt;"",C11&lt;&gt;""),'Admin Sheet'!$B$37,"")</f>
        <v/>
      </c>
      <c r="G11" s="625" t="str">
        <f>IF(OR(A11&lt;&gt;"",B11&lt;&gt;"",C11&lt;&gt;""),'Admin Sheet'!$B$41,"")</f>
        <v/>
      </c>
      <c r="H11" s="623"/>
      <c r="I11" s="627"/>
    </row>
    <row r="12" spans="1:14" ht="15" x14ac:dyDescent="0.2">
      <c r="A12" s="1174"/>
      <c r="B12" s="1186"/>
      <c r="C12" s="1186"/>
      <c r="D12" s="626"/>
      <c r="E12" s="625" t="str">
        <f>IF(OR(A12&lt;&gt;"",B12&lt;&gt;"",C12&lt;&gt;""),'Admin Sheet'!$B$44,"")</f>
        <v/>
      </c>
      <c r="F12" s="625" t="str">
        <f>IF(OR(A12&lt;&gt;"",B12&lt;&gt;"",C12&lt;&gt;""),'Admin Sheet'!$B$37,"")</f>
        <v/>
      </c>
      <c r="G12" s="625" t="str">
        <f>IF(OR(A12&lt;&gt;"",B12&lt;&gt;"",C12&lt;&gt;""),'Admin Sheet'!$B$41,"")</f>
        <v/>
      </c>
      <c r="H12" s="623"/>
      <c r="I12" s="627"/>
    </row>
    <row r="13" spans="1:14" ht="15" x14ac:dyDescent="0.2">
      <c r="A13" s="1174"/>
      <c r="B13" s="1186"/>
      <c r="C13" s="1186"/>
      <c r="D13" s="626"/>
      <c r="E13" s="625" t="str">
        <f>IF(OR(A13&lt;&gt;"",B13&lt;&gt;"",C13&lt;&gt;""),'Admin Sheet'!$B$44,"")</f>
        <v/>
      </c>
      <c r="F13" s="625" t="str">
        <f>IF(OR(A13&lt;&gt;"",B13&lt;&gt;"",C13&lt;&gt;""),'Admin Sheet'!$B$37,"")</f>
        <v/>
      </c>
      <c r="G13" s="625" t="str">
        <f>IF(OR(A13&lt;&gt;"",B13&lt;&gt;"",C13&lt;&gt;""),'Admin Sheet'!$B$41,"")</f>
        <v/>
      </c>
      <c r="H13" s="623"/>
      <c r="I13" s="627"/>
    </row>
    <row r="14" spans="1:14" ht="15" x14ac:dyDescent="0.2">
      <c r="A14" s="1174"/>
      <c r="B14" s="1186"/>
      <c r="C14" s="1186"/>
      <c r="D14" s="626"/>
      <c r="E14" s="625" t="str">
        <f>IF(OR(A14&lt;&gt;"",B14&lt;&gt;"",C14&lt;&gt;""),'Admin Sheet'!$B$44,"")</f>
        <v/>
      </c>
      <c r="F14" s="625" t="str">
        <f>IF(OR(A14&lt;&gt;"",B14&lt;&gt;"",C14&lt;&gt;""),'Admin Sheet'!$B$37,"")</f>
        <v/>
      </c>
      <c r="G14" s="625" t="str">
        <f>IF(OR(A14&lt;&gt;"",B14&lt;&gt;"",C14&lt;&gt;""),'Admin Sheet'!$B$41,"")</f>
        <v/>
      </c>
      <c r="H14" s="623"/>
      <c r="I14" s="627"/>
    </row>
    <row r="15" spans="1:14" ht="15" x14ac:dyDescent="0.2">
      <c r="A15" s="1174"/>
      <c r="B15" s="1186"/>
      <c r="C15" s="1186"/>
      <c r="D15" s="626"/>
      <c r="E15" s="625" t="str">
        <f>IF(OR(A15&lt;&gt;"",B15&lt;&gt;"",C15&lt;&gt;""),'Admin Sheet'!$B$44,"")</f>
        <v/>
      </c>
      <c r="F15" s="625" t="str">
        <f>IF(OR(A15&lt;&gt;"",B15&lt;&gt;"",C15&lt;&gt;""),'Admin Sheet'!$B$37,"")</f>
        <v/>
      </c>
      <c r="G15" s="625" t="str">
        <f>IF(OR(A15&lt;&gt;"",B15&lt;&gt;"",C15&lt;&gt;""),'Admin Sheet'!$B$41,"")</f>
        <v/>
      </c>
      <c r="H15" s="623"/>
      <c r="I15" s="627"/>
    </row>
    <row r="16" spans="1:14" ht="15" x14ac:dyDescent="0.2">
      <c r="A16" s="1174"/>
      <c r="B16" s="1186"/>
      <c r="C16" s="1186"/>
      <c r="D16" s="626"/>
      <c r="E16" s="625" t="str">
        <f>IF(OR(A16&lt;&gt;"",B16&lt;&gt;"",C16&lt;&gt;""),'Admin Sheet'!$B$44,"")</f>
        <v/>
      </c>
      <c r="F16" s="625" t="str">
        <f>IF(OR(A16&lt;&gt;"",B16&lt;&gt;"",C16&lt;&gt;""),'Admin Sheet'!$B$37,"")</f>
        <v/>
      </c>
      <c r="G16" s="625" t="str">
        <f>IF(OR(A16&lt;&gt;"",B16&lt;&gt;"",C16&lt;&gt;""),'Admin Sheet'!$B$41,"")</f>
        <v/>
      </c>
      <c r="H16" s="623"/>
      <c r="I16" s="627"/>
    </row>
    <row r="17" spans="1:9" ht="15" x14ac:dyDescent="0.2">
      <c r="A17" s="1174"/>
      <c r="B17" s="1186"/>
      <c r="C17" s="1186"/>
      <c r="D17" s="626"/>
      <c r="E17" s="625" t="str">
        <f>IF(OR(A17&lt;&gt;"",B17&lt;&gt;"",C17&lt;&gt;""),'Admin Sheet'!$B$44,"")</f>
        <v/>
      </c>
      <c r="F17" s="625" t="str">
        <f>IF(OR(A17&lt;&gt;"",B17&lt;&gt;"",C17&lt;&gt;""),'Admin Sheet'!$B$37,"")</f>
        <v/>
      </c>
      <c r="G17" s="625" t="str">
        <f>IF(OR(A17&lt;&gt;"",B17&lt;&gt;"",C17&lt;&gt;""),'Admin Sheet'!$B$41,"")</f>
        <v/>
      </c>
      <c r="H17" s="623"/>
      <c r="I17" s="627"/>
    </row>
    <row r="18" spans="1:9" ht="15" x14ac:dyDescent="0.2">
      <c r="A18" s="1174"/>
      <c r="B18" s="1186"/>
      <c r="C18" s="1186"/>
      <c r="D18" s="626"/>
      <c r="E18" s="625" t="str">
        <f>IF(OR(A18&lt;&gt;"",B18&lt;&gt;"",C18&lt;&gt;""),'Admin Sheet'!$B$44,"")</f>
        <v/>
      </c>
      <c r="F18" s="625" t="str">
        <f>IF(OR(A18&lt;&gt;"",B18&lt;&gt;"",C18&lt;&gt;""),'Admin Sheet'!$B$37,"")</f>
        <v/>
      </c>
      <c r="G18" s="625" t="str">
        <f>IF(OR(A18&lt;&gt;"",B18&lt;&gt;"",C18&lt;&gt;""),'Admin Sheet'!$B$41,"")</f>
        <v/>
      </c>
      <c r="H18" s="623"/>
      <c r="I18" s="627"/>
    </row>
    <row r="19" spans="1:9" ht="15" x14ac:dyDescent="0.2">
      <c r="A19" s="1174"/>
      <c r="B19" s="1186"/>
      <c r="C19" s="1186"/>
      <c r="D19" s="626"/>
      <c r="E19" s="625" t="str">
        <f>IF(OR(A19&lt;&gt;"",B19&lt;&gt;"",C19&lt;&gt;""),'Admin Sheet'!$B$44,"")</f>
        <v/>
      </c>
      <c r="F19" s="625" t="str">
        <f>IF(OR(A19&lt;&gt;"",B19&lt;&gt;"",C19&lt;&gt;""),'Admin Sheet'!$B$37,"")</f>
        <v/>
      </c>
      <c r="G19" s="625" t="str">
        <f>IF(OR(A19&lt;&gt;"",B19&lt;&gt;"",C19&lt;&gt;""),'Admin Sheet'!$B$41,"")</f>
        <v/>
      </c>
      <c r="H19" s="623"/>
      <c r="I19" s="627"/>
    </row>
    <row r="20" spans="1:9" ht="15" x14ac:dyDescent="0.2">
      <c r="A20" s="1174"/>
      <c r="B20" s="1186"/>
      <c r="C20" s="1186"/>
      <c r="D20" s="626"/>
      <c r="E20" s="625" t="str">
        <f>IF(OR(A20&lt;&gt;"",B20&lt;&gt;"",C20&lt;&gt;""),'Admin Sheet'!$B$44,"")</f>
        <v/>
      </c>
      <c r="F20" s="625" t="str">
        <f>IF(OR(A20&lt;&gt;"",B20&lt;&gt;"",C20&lt;&gt;""),'Admin Sheet'!$B$37,"")</f>
        <v/>
      </c>
      <c r="G20" s="625" t="str">
        <f>IF(OR(A20&lt;&gt;"",B20&lt;&gt;"",C20&lt;&gt;""),'Admin Sheet'!$B$41,"")</f>
        <v/>
      </c>
      <c r="H20" s="623"/>
      <c r="I20" s="627"/>
    </row>
    <row r="21" spans="1:9" ht="15" x14ac:dyDescent="0.2">
      <c r="A21" s="1174"/>
      <c r="B21" s="1186"/>
      <c r="C21" s="1186"/>
      <c r="D21" s="626"/>
      <c r="E21" s="625" t="str">
        <f>IF(OR(A21&lt;&gt;"",B21&lt;&gt;"",C21&lt;&gt;""),'Admin Sheet'!$B$44,"")</f>
        <v/>
      </c>
      <c r="F21" s="625" t="str">
        <f>IF(OR(A21&lt;&gt;"",B21&lt;&gt;"",C21&lt;&gt;""),'Admin Sheet'!$B$37,"")</f>
        <v/>
      </c>
      <c r="G21" s="625" t="str">
        <f>IF(OR(A21&lt;&gt;"",B21&lt;&gt;"",C21&lt;&gt;""),'Admin Sheet'!$B$41,"")</f>
        <v/>
      </c>
      <c r="H21" s="623"/>
      <c r="I21" s="627"/>
    </row>
    <row r="22" spans="1:9" ht="15" x14ac:dyDescent="0.2">
      <c r="A22" s="1174"/>
      <c r="B22" s="1186"/>
      <c r="C22" s="1186"/>
      <c r="D22" s="626"/>
      <c r="E22" s="625" t="str">
        <f>IF(OR(A22&lt;&gt;"",B22&lt;&gt;"",C22&lt;&gt;""),'Admin Sheet'!$B$44,"")</f>
        <v/>
      </c>
      <c r="F22" s="625" t="str">
        <f>IF(OR(A22&lt;&gt;"",B22&lt;&gt;"",C22&lt;&gt;""),'Admin Sheet'!$B$37,"")</f>
        <v/>
      </c>
      <c r="G22" s="625" t="str">
        <f>IF(OR(A22&lt;&gt;"",B22&lt;&gt;"",C22&lt;&gt;""),'Admin Sheet'!$B$41,"")</f>
        <v/>
      </c>
      <c r="H22" s="623"/>
      <c r="I22" s="627"/>
    </row>
    <row r="23" spans="1:9" ht="15" x14ac:dyDescent="0.2">
      <c r="A23" s="1174"/>
      <c r="B23" s="1186"/>
      <c r="C23" s="1186"/>
      <c r="D23" s="626"/>
      <c r="E23" s="625" t="str">
        <f>IF(OR(A23&lt;&gt;"",B23&lt;&gt;"",C23&lt;&gt;""),'Admin Sheet'!$B$44,"")</f>
        <v/>
      </c>
      <c r="F23" s="625" t="str">
        <f>IF(OR(A23&lt;&gt;"",B23&lt;&gt;"",C23&lt;&gt;""),'Admin Sheet'!$B$37,"")</f>
        <v/>
      </c>
      <c r="G23" s="625" t="str">
        <f>IF(OR(A23&lt;&gt;"",B23&lt;&gt;"",C23&lt;&gt;""),'Admin Sheet'!$B$41,"")</f>
        <v/>
      </c>
      <c r="H23" s="623"/>
      <c r="I23" s="627"/>
    </row>
    <row r="24" spans="1:9" ht="15" x14ac:dyDescent="0.2">
      <c r="A24" s="1174"/>
      <c r="B24" s="1186"/>
      <c r="C24" s="1186"/>
      <c r="D24" s="626"/>
      <c r="E24" s="625" t="str">
        <f>IF(OR(A24&lt;&gt;"",B24&lt;&gt;"",C24&lt;&gt;""),'Admin Sheet'!$B$44,"")</f>
        <v/>
      </c>
      <c r="F24" s="625" t="str">
        <f>IF(OR(A24&lt;&gt;"",B24&lt;&gt;"",C24&lt;&gt;""),'Admin Sheet'!$B$37,"")</f>
        <v/>
      </c>
      <c r="G24" s="625" t="str">
        <f>IF(OR(A24&lt;&gt;"",B24&lt;&gt;"",C24&lt;&gt;""),'Admin Sheet'!$B$41,"")</f>
        <v/>
      </c>
      <c r="H24" s="623"/>
      <c r="I24" s="627"/>
    </row>
    <row r="25" spans="1:9" ht="15" x14ac:dyDescent="0.2">
      <c r="A25" s="1174"/>
      <c r="B25" s="1186"/>
      <c r="C25" s="1186"/>
      <c r="D25" s="626"/>
      <c r="E25" s="625" t="str">
        <f>IF(OR(A25&lt;&gt;"",B25&lt;&gt;"",C25&lt;&gt;""),'Admin Sheet'!$B$44,"")</f>
        <v/>
      </c>
      <c r="F25" s="625" t="str">
        <f>IF(OR(A25&lt;&gt;"",B25&lt;&gt;"",C25&lt;&gt;""),'Admin Sheet'!$B$37,"")</f>
        <v/>
      </c>
      <c r="G25" s="625" t="str">
        <f>IF(OR(A25&lt;&gt;"",B25&lt;&gt;"",C25&lt;&gt;""),'Admin Sheet'!$B$41,"")</f>
        <v/>
      </c>
      <c r="H25" s="623"/>
      <c r="I25" s="627"/>
    </row>
    <row r="26" spans="1:9" ht="15" x14ac:dyDescent="0.2">
      <c r="A26" s="1174"/>
      <c r="B26" s="1186"/>
      <c r="C26" s="1186"/>
      <c r="D26" s="626"/>
      <c r="E26" s="625" t="str">
        <f>IF(OR(A26&lt;&gt;"",B26&lt;&gt;"",C26&lt;&gt;""),'Admin Sheet'!$B$44,"")</f>
        <v/>
      </c>
      <c r="F26" s="625" t="str">
        <f>IF(OR(A26&lt;&gt;"",B26&lt;&gt;"",C26&lt;&gt;""),'Admin Sheet'!$B$37,"")</f>
        <v/>
      </c>
      <c r="G26" s="625" t="str">
        <f>IF(OR(A26&lt;&gt;"",B26&lt;&gt;"",C26&lt;&gt;""),'Admin Sheet'!$B$41,"")</f>
        <v/>
      </c>
      <c r="H26" s="623"/>
      <c r="I26" s="627"/>
    </row>
    <row r="27" spans="1:9" ht="15" x14ac:dyDescent="0.2">
      <c r="A27" s="1174"/>
      <c r="B27" s="1186"/>
      <c r="C27" s="1186"/>
      <c r="D27" s="626"/>
      <c r="E27" s="625" t="str">
        <f>IF(OR(A27&lt;&gt;"",B27&lt;&gt;"",C27&lt;&gt;""),'Admin Sheet'!$B$44,"")</f>
        <v/>
      </c>
      <c r="F27" s="625" t="str">
        <f>IF(OR(A27&lt;&gt;"",B27&lt;&gt;"",C27&lt;&gt;""),'Admin Sheet'!$B$37,"")</f>
        <v/>
      </c>
      <c r="G27" s="625" t="str">
        <f>IF(OR(A27&lt;&gt;"",B27&lt;&gt;"",C27&lt;&gt;""),'Admin Sheet'!$B$41,"")</f>
        <v/>
      </c>
      <c r="H27" s="623"/>
      <c r="I27" s="627"/>
    </row>
    <row r="28" spans="1:9" ht="15" x14ac:dyDescent="0.2">
      <c r="A28" s="1174"/>
      <c r="B28" s="1186"/>
      <c r="C28" s="1186"/>
      <c r="D28" s="626"/>
      <c r="E28" s="625" t="str">
        <f>IF(OR(A28&lt;&gt;"",B28&lt;&gt;"",C28&lt;&gt;""),'Admin Sheet'!$B$44,"")</f>
        <v/>
      </c>
      <c r="F28" s="625" t="str">
        <f>IF(OR(A28&lt;&gt;"",B28&lt;&gt;"",C28&lt;&gt;""),'Admin Sheet'!$B$37,"")</f>
        <v/>
      </c>
      <c r="G28" s="625" t="str">
        <f>IF(OR(A28&lt;&gt;"",B28&lt;&gt;"",C28&lt;&gt;""),'Admin Sheet'!$B$41,"")</f>
        <v/>
      </c>
      <c r="H28" s="623"/>
      <c r="I28" s="627"/>
    </row>
    <row r="29" spans="1:9" ht="15" x14ac:dyDescent="0.2">
      <c r="A29" s="1174"/>
      <c r="B29" s="1186"/>
      <c r="C29" s="1186"/>
      <c r="D29" s="626"/>
      <c r="E29" s="625" t="str">
        <f>IF(OR(A29&lt;&gt;"",B29&lt;&gt;"",C29&lt;&gt;""),'Admin Sheet'!$B$44,"")</f>
        <v/>
      </c>
      <c r="F29" s="625" t="str">
        <f>IF(OR(A29&lt;&gt;"",B29&lt;&gt;"",C29&lt;&gt;""),'Admin Sheet'!$B$37,"")</f>
        <v/>
      </c>
      <c r="G29" s="625" t="str">
        <f>IF(OR(A29&lt;&gt;"",B29&lt;&gt;"",C29&lt;&gt;""),'Admin Sheet'!$B$41,"")</f>
        <v/>
      </c>
      <c r="H29" s="623"/>
      <c r="I29" s="627"/>
    </row>
    <row r="30" spans="1:9" ht="15" x14ac:dyDescent="0.2">
      <c r="A30" s="1174"/>
      <c r="B30" s="1186"/>
      <c r="C30" s="1186"/>
      <c r="D30" s="626"/>
      <c r="E30" s="625" t="str">
        <f>IF(OR(A30&lt;&gt;"",B30&lt;&gt;"",C30&lt;&gt;""),'Admin Sheet'!$B$44,"")</f>
        <v/>
      </c>
      <c r="F30" s="625" t="str">
        <f>IF(OR(A30&lt;&gt;"",B30&lt;&gt;"",C30&lt;&gt;""),'Admin Sheet'!$B$37,"")</f>
        <v/>
      </c>
      <c r="G30" s="625" t="str">
        <f>IF(OR(A30&lt;&gt;"",B30&lt;&gt;"",C30&lt;&gt;""),'Admin Sheet'!$B$41,"")</f>
        <v/>
      </c>
      <c r="H30" s="623"/>
      <c r="I30" s="627"/>
    </row>
    <row r="31" spans="1:9" ht="15" x14ac:dyDescent="0.2">
      <c r="A31" s="1174"/>
      <c r="B31" s="1186"/>
      <c r="C31" s="1186"/>
      <c r="D31" s="626"/>
      <c r="E31" s="625" t="str">
        <f>IF(OR(A31&lt;&gt;"",B31&lt;&gt;"",C31&lt;&gt;""),'Admin Sheet'!$B$44,"")</f>
        <v/>
      </c>
      <c r="F31" s="625" t="str">
        <f>IF(OR(A31&lt;&gt;"",B31&lt;&gt;"",C31&lt;&gt;""),'Admin Sheet'!$B$37,"")</f>
        <v/>
      </c>
      <c r="G31" s="625" t="str">
        <f>IF(OR(A31&lt;&gt;"",B31&lt;&gt;"",C31&lt;&gt;""),'Admin Sheet'!$B$41,"")</f>
        <v/>
      </c>
      <c r="H31" s="623"/>
      <c r="I31" s="627"/>
    </row>
    <row r="32" spans="1:9" ht="15" x14ac:dyDescent="0.2">
      <c r="A32" s="1174"/>
      <c r="B32" s="1186"/>
      <c r="C32" s="1186"/>
      <c r="D32" s="626"/>
      <c r="E32" s="625" t="str">
        <f>IF(OR(A32&lt;&gt;"",B32&lt;&gt;"",C32&lt;&gt;""),'Admin Sheet'!$B$44,"")</f>
        <v/>
      </c>
      <c r="F32" s="625" t="str">
        <f>IF(OR(A32&lt;&gt;"",B32&lt;&gt;"",C32&lt;&gt;""),'Admin Sheet'!$B$37,"")</f>
        <v/>
      </c>
      <c r="G32" s="625" t="str">
        <f>IF(OR(A32&lt;&gt;"",B32&lt;&gt;"",C32&lt;&gt;""),'Admin Sheet'!$B$41,"")</f>
        <v/>
      </c>
      <c r="H32" s="623"/>
      <c r="I32" s="627"/>
    </row>
    <row r="33" spans="1:9" ht="15" x14ac:dyDescent="0.2">
      <c r="A33" s="1174"/>
      <c r="B33" s="1186"/>
      <c r="C33" s="1186"/>
      <c r="D33" s="626"/>
      <c r="E33" s="625" t="str">
        <f>IF(OR(A33&lt;&gt;"",B33&lt;&gt;"",C33&lt;&gt;""),'Admin Sheet'!$B$44,"")</f>
        <v/>
      </c>
      <c r="F33" s="625" t="str">
        <f>IF(OR(A33&lt;&gt;"",B33&lt;&gt;"",C33&lt;&gt;""),'Admin Sheet'!$B$37,"")</f>
        <v/>
      </c>
      <c r="G33" s="625" t="str">
        <f>IF(OR(A33&lt;&gt;"",B33&lt;&gt;"",C33&lt;&gt;""),'Admin Sheet'!$B$41,"")</f>
        <v/>
      </c>
      <c r="H33" s="623"/>
      <c r="I33" s="627"/>
    </row>
    <row r="34" spans="1:9" ht="15" x14ac:dyDescent="0.2">
      <c r="A34" s="1174"/>
      <c r="B34" s="1186"/>
      <c r="C34" s="1186"/>
      <c r="D34" s="626"/>
      <c r="E34" s="625" t="str">
        <f>IF(OR(A34&lt;&gt;"",B34&lt;&gt;"",C34&lt;&gt;""),'Admin Sheet'!$B$44,"")</f>
        <v/>
      </c>
      <c r="F34" s="625" t="str">
        <f>IF(OR(A34&lt;&gt;"",B34&lt;&gt;"",C34&lt;&gt;""),'Admin Sheet'!$B$37,"")</f>
        <v/>
      </c>
      <c r="G34" s="625" t="str">
        <f>IF(OR(A34&lt;&gt;"",B34&lt;&gt;"",C34&lt;&gt;""),'Admin Sheet'!$B$41,"")</f>
        <v/>
      </c>
      <c r="H34" s="623"/>
      <c r="I34" s="627"/>
    </row>
    <row r="35" spans="1:9" ht="15" x14ac:dyDescent="0.2">
      <c r="A35" s="1174"/>
      <c r="B35" s="1186"/>
      <c r="C35" s="1186"/>
      <c r="D35" s="626"/>
      <c r="E35" s="625" t="str">
        <f>IF(OR(A35&lt;&gt;"",B35&lt;&gt;"",C35&lt;&gt;""),'Admin Sheet'!$B$44,"")</f>
        <v/>
      </c>
      <c r="F35" s="625" t="str">
        <f>IF(OR(A35&lt;&gt;"",B35&lt;&gt;"",C35&lt;&gt;""),'Admin Sheet'!$B$37,"")</f>
        <v/>
      </c>
      <c r="G35" s="625" t="str">
        <f>IF(OR(A35&lt;&gt;"",B35&lt;&gt;"",C35&lt;&gt;""),'Admin Sheet'!$B$41,"")</f>
        <v/>
      </c>
      <c r="H35" s="623"/>
      <c r="I35" s="627"/>
    </row>
    <row r="36" spans="1:9" ht="15" x14ac:dyDescent="0.2">
      <c r="A36" s="1174"/>
      <c r="B36" s="1186"/>
      <c r="C36" s="1186"/>
      <c r="D36" s="626"/>
      <c r="E36" s="625" t="str">
        <f>IF(OR(A36&lt;&gt;"",B36&lt;&gt;"",C36&lt;&gt;""),'Admin Sheet'!$B$44,"")</f>
        <v/>
      </c>
      <c r="F36" s="625" t="str">
        <f>IF(OR(A36&lt;&gt;"",B36&lt;&gt;"",C36&lt;&gt;""),'Admin Sheet'!$B$37,"")</f>
        <v/>
      </c>
      <c r="G36" s="625" t="str">
        <f>IF(OR(A36&lt;&gt;"",B36&lt;&gt;"",C36&lt;&gt;""),'Admin Sheet'!$B$41,"")</f>
        <v/>
      </c>
      <c r="H36" s="623"/>
      <c r="I36" s="627"/>
    </row>
    <row r="37" spans="1:9" ht="15" x14ac:dyDescent="0.2">
      <c r="A37" s="1174"/>
      <c r="B37" s="1186"/>
      <c r="C37" s="1186"/>
      <c r="D37" s="626"/>
      <c r="E37" s="625" t="str">
        <f>IF(OR(A37&lt;&gt;"",B37&lt;&gt;"",C37&lt;&gt;""),'Admin Sheet'!$B$44,"")</f>
        <v/>
      </c>
      <c r="F37" s="625" t="str">
        <f>IF(OR(A37&lt;&gt;"",B37&lt;&gt;"",C37&lt;&gt;""),'Admin Sheet'!$B$37,"")</f>
        <v/>
      </c>
      <c r="G37" s="625" t="str">
        <f>IF(OR(A37&lt;&gt;"",B37&lt;&gt;"",C37&lt;&gt;""),'Admin Sheet'!$B$41,"")</f>
        <v/>
      </c>
      <c r="H37" s="623"/>
      <c r="I37" s="627"/>
    </row>
    <row r="38" spans="1:9" ht="15" x14ac:dyDescent="0.2">
      <c r="A38" s="1174"/>
      <c r="B38" s="1186"/>
      <c r="C38" s="1186"/>
      <c r="D38" s="626"/>
      <c r="E38" s="625" t="str">
        <f>IF(OR(A38&lt;&gt;"",B38&lt;&gt;"",C38&lt;&gt;""),'Admin Sheet'!$B$44,"")</f>
        <v/>
      </c>
      <c r="F38" s="625" t="str">
        <f>IF(OR(A38&lt;&gt;"",B38&lt;&gt;"",C38&lt;&gt;""),'Admin Sheet'!$B$37,"")</f>
        <v/>
      </c>
      <c r="G38" s="625" t="str">
        <f>IF(OR(A38&lt;&gt;"",B38&lt;&gt;"",C38&lt;&gt;""),'Admin Sheet'!$B$41,"")</f>
        <v/>
      </c>
      <c r="H38" s="623"/>
      <c r="I38" s="627"/>
    </row>
    <row r="39" spans="1:9" ht="15" x14ac:dyDescent="0.2">
      <c r="A39" s="1174"/>
      <c r="B39" s="1186"/>
      <c r="C39" s="1186"/>
      <c r="D39" s="626"/>
      <c r="E39" s="625" t="str">
        <f>IF(OR(A39&lt;&gt;"",B39&lt;&gt;"",C39&lt;&gt;""),'Admin Sheet'!$B$44,"")</f>
        <v/>
      </c>
      <c r="F39" s="625" t="str">
        <f>IF(OR(A39&lt;&gt;"",B39&lt;&gt;"",C39&lt;&gt;""),'Admin Sheet'!$B$37,"")</f>
        <v/>
      </c>
      <c r="G39" s="625" t="str">
        <f>IF(OR(A39&lt;&gt;"",B39&lt;&gt;"",C39&lt;&gt;""),'Admin Sheet'!$B$41,"")</f>
        <v/>
      </c>
      <c r="H39" s="623"/>
      <c r="I39" s="627"/>
    </row>
    <row r="40" spans="1:9" ht="15" x14ac:dyDescent="0.2">
      <c r="A40" s="1174"/>
      <c r="B40" s="1186"/>
      <c r="C40" s="1186"/>
      <c r="D40" s="626"/>
      <c r="E40" s="625" t="str">
        <f>IF(OR(A40&lt;&gt;"",B40&lt;&gt;"",C40&lt;&gt;""),'Admin Sheet'!$B$44,"")</f>
        <v/>
      </c>
      <c r="F40" s="625" t="str">
        <f>IF(OR(A40&lt;&gt;"",B40&lt;&gt;"",C40&lt;&gt;""),'Admin Sheet'!$B$37,"")</f>
        <v/>
      </c>
      <c r="G40" s="625" t="str">
        <f>IF(OR(A40&lt;&gt;"",B40&lt;&gt;"",C40&lt;&gt;""),'Admin Sheet'!$B$41,"")</f>
        <v/>
      </c>
      <c r="H40" s="623"/>
      <c r="I40" s="627"/>
    </row>
    <row r="41" spans="1:9" hidden="1" x14ac:dyDescent="0.2">
      <c r="A41" s="628"/>
      <c r="B41" s="629"/>
      <c r="C41" s="629"/>
      <c r="D41" s="630"/>
      <c r="E41" s="631"/>
      <c r="F41" s="625" t="str">
        <f>IF(OR(A41&lt;&gt;"",B41&lt;&gt;"",C41&lt;&gt;""),'Admin Sheet'!$B$37,"")</f>
        <v/>
      </c>
      <c r="G41" s="625" t="str">
        <f>IF(OR(A41&lt;&gt;"",B41&lt;&gt;"",C41&lt;&gt;""),'Admin Sheet'!$B$41,"")</f>
        <v/>
      </c>
      <c r="H41" s="632"/>
      <c r="I41" s="540"/>
    </row>
    <row r="42" spans="1:9" hidden="1" x14ac:dyDescent="0.2">
      <c r="A42" s="628"/>
      <c r="B42" s="629"/>
      <c r="C42" s="629"/>
      <c r="D42" s="630"/>
      <c r="E42" s="631"/>
      <c r="F42" s="632"/>
      <c r="G42" s="632"/>
      <c r="H42" s="632"/>
      <c r="I42" s="540"/>
    </row>
    <row r="43" spans="1:9" hidden="1" x14ac:dyDescent="0.2">
      <c r="A43" s="633" t="s">
        <v>46</v>
      </c>
      <c r="B43" s="629"/>
      <c r="C43" s="629"/>
      <c r="D43" s="630"/>
      <c r="E43" s="631"/>
      <c r="F43" s="632"/>
      <c r="G43" s="632"/>
      <c r="H43" s="632"/>
      <c r="I43" s="540"/>
    </row>
    <row r="44" spans="1:9" hidden="1" x14ac:dyDescent="0.2">
      <c r="A44" s="633" t="s">
        <v>5</v>
      </c>
      <c r="B44" s="629"/>
      <c r="C44" s="629"/>
      <c r="D44" s="630"/>
      <c r="E44" s="631"/>
      <c r="F44" s="632"/>
      <c r="G44" s="632"/>
      <c r="H44" s="632"/>
      <c r="I44" s="540"/>
    </row>
    <row r="45" spans="1:9" hidden="1" x14ac:dyDescent="0.2">
      <c r="A45" s="633" t="s">
        <v>6</v>
      </c>
      <c r="B45" s="629"/>
      <c r="C45" s="629"/>
      <c r="D45" s="630"/>
      <c r="E45" s="631"/>
      <c r="F45" s="632"/>
      <c r="G45" s="632"/>
      <c r="H45" s="632"/>
      <c r="I45" s="540"/>
    </row>
    <row r="46" spans="1:9" hidden="1" x14ac:dyDescent="0.2">
      <c r="A46" s="628"/>
      <c r="B46" s="629"/>
      <c r="C46" s="629"/>
      <c r="D46" s="630"/>
      <c r="E46" s="631"/>
      <c r="F46" s="632"/>
      <c r="G46" s="632"/>
      <c r="H46" s="632"/>
      <c r="I46" s="540"/>
    </row>
    <row r="47" spans="1:9" hidden="1" x14ac:dyDescent="0.2">
      <c r="A47" s="633" t="s">
        <v>46</v>
      </c>
      <c r="B47" s="629"/>
      <c r="C47" s="629"/>
      <c r="D47" s="630"/>
      <c r="E47" s="631"/>
      <c r="F47" s="632"/>
      <c r="G47" s="632"/>
      <c r="H47" s="632"/>
      <c r="I47" s="540"/>
    </row>
    <row r="48" spans="1:9" hidden="1" x14ac:dyDescent="0.2">
      <c r="A48" s="633" t="s">
        <v>7</v>
      </c>
      <c r="B48" s="629"/>
      <c r="C48" s="629"/>
      <c r="D48" s="634"/>
      <c r="E48" s="631"/>
      <c r="F48" s="632"/>
      <c r="G48" s="632"/>
      <c r="H48" s="632"/>
      <c r="I48" s="540"/>
    </row>
    <row r="49" spans="1:9" hidden="1" x14ac:dyDescent="0.2">
      <c r="A49" s="633" t="s">
        <v>8</v>
      </c>
      <c r="B49" s="629"/>
      <c r="C49" s="629"/>
      <c r="D49" s="634"/>
      <c r="E49" s="631"/>
      <c r="F49" s="632"/>
      <c r="G49" s="632"/>
      <c r="H49" s="632"/>
      <c r="I49" s="540"/>
    </row>
    <row r="50" spans="1:9" hidden="1" x14ac:dyDescent="0.2">
      <c r="A50" s="633" t="s">
        <v>9</v>
      </c>
      <c r="B50" s="629"/>
      <c r="C50" s="629"/>
      <c r="D50" s="634"/>
      <c r="E50" s="631"/>
      <c r="F50" s="632"/>
      <c r="G50" s="632"/>
      <c r="H50" s="632"/>
      <c r="I50" s="540"/>
    </row>
    <row r="51" spans="1:9" hidden="1" x14ac:dyDescent="0.2">
      <c r="A51" s="633" t="s">
        <v>10</v>
      </c>
      <c r="B51" s="629"/>
      <c r="C51" s="629"/>
      <c r="D51" s="634"/>
      <c r="E51" s="631"/>
      <c r="F51" s="632"/>
      <c r="G51" s="632"/>
      <c r="H51" s="632"/>
      <c r="I51" s="540"/>
    </row>
    <row r="52" spans="1:9" hidden="1" x14ac:dyDescent="0.2">
      <c r="A52" s="633" t="s">
        <v>11</v>
      </c>
      <c r="B52" s="629"/>
      <c r="C52" s="629"/>
      <c r="D52" s="634"/>
      <c r="E52" s="631"/>
      <c r="F52" s="632"/>
      <c r="G52" s="632"/>
      <c r="H52" s="632"/>
      <c r="I52" s="540"/>
    </row>
    <row r="53" spans="1:9" hidden="1" x14ac:dyDescent="0.2">
      <c r="A53" s="628"/>
      <c r="B53" s="629"/>
      <c r="C53" s="629"/>
      <c r="D53" s="634"/>
      <c r="E53" s="631"/>
      <c r="F53" s="632"/>
      <c r="G53" s="632"/>
      <c r="H53" s="632"/>
      <c r="I53" s="540"/>
    </row>
    <row r="54" spans="1:9" ht="1.35" customHeight="1" thickBot="1" x14ac:dyDescent="0.25">
      <c r="A54" s="635"/>
      <c r="B54" s="636"/>
      <c r="C54" s="636"/>
      <c r="D54" s="637"/>
      <c r="E54" s="638"/>
      <c r="F54" s="639"/>
      <c r="G54" s="639"/>
      <c r="H54" s="639"/>
      <c r="I54" s="539"/>
    </row>
  </sheetData>
  <sheetProtection algorithmName="SHA-512" hashValue="6G0GHBDyTPZWOuaQCl0Zg40qtiX60iJiags6weBAKlWcGiK3ljyqE3G+ZH8/pxp0scpLJuXkM3YC1XA8fPSgEA==" saltValue="nUDNO0ceu0+p97z1p0x35w==" spinCount="100000" sheet="1" objects="1" scenarios="1" formatCells="0" formatColumns="0" formatRows="0"/>
  <autoFilter ref="A9:H40"/>
  <mergeCells count="2">
    <mergeCell ref="A1:D1"/>
    <mergeCell ref="A6:D6"/>
  </mergeCells>
  <phoneticPr fontId="18" type="noConversion"/>
  <dataValidations count="2">
    <dataValidation type="list" allowBlank="1" showInputMessage="1" showErrorMessage="1" errorTitle="X-Author for Excel" error="Please select a value from the drop-down." promptTitle="X-Author for Excel" sqref="A10:A40">
      <formula1>IF(IFERROR(ROWS(INDIRECT(SUBSTITUTE("AIM_Grant_Requirement__c.AIM_Functional_Areas__c"," ","_"))),-1) &lt; 0, XAuthorInvalidPicklistData,INDIRECT(SUBSTITUTE("AIM_Grant_Requirement__c.AIM_Functional_Areas__c"," ","_")))</formula1>
    </dataValidation>
    <dataValidation type="custom" allowBlank="1" showInputMessage="1" showErrorMessage="1" errorTitle="X-Author for Excel" error="Id and Lookup fields are not editable." promptTitle="X-Author for Excel" sqref="E10:H40">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46" orientation="portrait" cellComments="asDisplayed" r:id="rId1"/>
  <headerFooter>
    <oddFooter>&amp;L&amp;9&amp;A&amp;R&amp;9&amp;P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79998168889431442"/>
  </sheetPr>
  <dimension ref="A1:AE231"/>
  <sheetViews>
    <sheetView showGridLines="0" view="pageBreakPreview" zoomScale="60" zoomScaleNormal="60" workbookViewId="0">
      <selection activeCell="G19" sqref="G19"/>
    </sheetView>
  </sheetViews>
  <sheetFormatPr defaultColWidth="9.140625" defaultRowHeight="15" x14ac:dyDescent="0.2"/>
  <cols>
    <col min="1" max="1" width="60.140625" style="352" customWidth="1"/>
    <col min="2" max="2" width="48.85546875" style="352" customWidth="1"/>
    <col min="3" max="5" width="21.140625" style="352" customWidth="1"/>
    <col min="6" max="6" width="19.85546875" style="352" customWidth="1"/>
    <col min="7" max="7" width="102" style="352" customWidth="1"/>
    <col min="8" max="8" width="8.85546875" style="353" customWidth="1"/>
    <col min="9" max="11" width="19.85546875" style="352" customWidth="1"/>
    <col min="12" max="12" width="17" style="351" customWidth="1"/>
    <col min="13" max="13" width="9.140625" style="351" customWidth="1"/>
    <col min="14" max="14" width="9.140625" style="351" hidden="1" customWidth="1"/>
    <col min="15" max="15" width="12.5703125" style="566" hidden="1" customWidth="1"/>
    <col min="16" max="16" width="14" style="351" hidden="1" customWidth="1"/>
    <col min="17" max="19" width="9.140625" style="351" hidden="1" customWidth="1"/>
    <col min="20" max="20" width="0" style="351" hidden="1" customWidth="1"/>
    <col min="21" max="24" width="9.140625" style="351"/>
    <col min="25" max="25" width="5.85546875" style="351" customWidth="1"/>
    <col min="26" max="26" width="9.140625" style="351" hidden="1" customWidth="1"/>
    <col min="27" max="27" width="14.85546875" style="351" customWidth="1"/>
    <col min="28" max="28" width="64.85546875" style="351" hidden="1" customWidth="1"/>
    <col min="29" max="16384" width="9.140625" style="351"/>
  </cols>
  <sheetData>
    <row r="1" spans="1:21" s="352" customFormat="1" ht="45.75" customHeight="1" thickBot="1" x14ac:dyDescent="0.25">
      <c r="A1" s="1694" t="str">
        <f>IF(CoverSheet!J12="N/A","Progress Report","Progress Report with Disbursement Request")</f>
        <v>Progress Report with Disbursement Request</v>
      </c>
      <c r="B1" s="1694"/>
      <c r="C1" s="1694"/>
      <c r="D1" s="1694"/>
      <c r="E1" s="1694"/>
      <c r="F1" s="1694"/>
      <c r="G1" s="1694"/>
      <c r="H1" s="353"/>
      <c r="O1" s="562"/>
    </row>
    <row r="2" spans="1:21" s="357" customFormat="1" ht="38.25" customHeight="1" thickBot="1" x14ac:dyDescent="0.25">
      <c r="A2" s="846" t="s">
        <v>269</v>
      </c>
      <c r="B2" s="847"/>
      <c r="C2" s="847"/>
      <c r="D2" s="847"/>
      <c r="E2" s="847"/>
      <c r="F2" s="847"/>
      <c r="G2" s="850"/>
      <c r="H2" s="851"/>
      <c r="I2" s="848"/>
      <c r="J2" s="848"/>
      <c r="K2" s="848"/>
      <c r="L2" s="849"/>
      <c r="O2" s="563"/>
    </row>
    <row r="3" spans="1:21" s="352" customFormat="1" ht="39" customHeight="1" x14ac:dyDescent="0.2">
      <c r="D3" s="1695" t="str">
        <f>CoverSheet!F9</f>
        <v>Period of Financial Reporting</v>
      </c>
      <c r="E3" s="1696"/>
      <c r="F3" s="842" t="str">
        <f>CoverSheet!I9</f>
        <v>Beginning Date:</v>
      </c>
      <c r="G3" s="843">
        <f>IF(CoverSheet!J9="","N/A",CoverSheet!J9)</f>
        <v>42736</v>
      </c>
      <c r="H3" s="842" t="str">
        <f>CoverSheet!K9</f>
        <v>End Date:</v>
      </c>
      <c r="I3" s="892">
        <f>IF(CoverSheet!L9="","N/A",CoverSheet!L9)</f>
        <v>43100</v>
      </c>
      <c r="O3" s="562"/>
    </row>
    <row r="4" spans="1:21" s="352" customFormat="1" ht="33" customHeight="1" thickBot="1" x14ac:dyDescent="0.25">
      <c r="D4" s="1697" t="s">
        <v>538</v>
      </c>
      <c r="E4" s="1698"/>
      <c r="F4" s="844" t="str">
        <f>CoverSheet!I9</f>
        <v>Beginning Date:</v>
      </c>
      <c r="G4" s="845">
        <f>IF(_00de7129_653b_4d69_830e_62f54dcfdb6c="","N/A",_00de7129_653b_4d69_830e_62f54dcfdb6c)</f>
        <v>42736</v>
      </c>
      <c r="H4" s="844" t="str">
        <f>CoverSheet!K9</f>
        <v>End Date:</v>
      </c>
      <c r="I4" s="893">
        <f>IF(CoverSheet!L9="","N/A",CoverSheet!L9)</f>
        <v>43100</v>
      </c>
      <c r="N4" s="989"/>
      <c r="O4" s="989"/>
      <c r="P4" s="989"/>
      <c r="Q4" s="989"/>
      <c r="R4" s="989"/>
      <c r="S4" s="989"/>
      <c r="T4" s="989"/>
    </row>
    <row r="5" spans="1:21" s="352" customFormat="1" ht="33" customHeight="1" x14ac:dyDescent="0.2">
      <c r="A5" s="109" t="s">
        <v>604</v>
      </c>
      <c r="B5" s="112"/>
      <c r="C5" s="112"/>
      <c r="D5" s="109"/>
      <c r="E5" s="112"/>
      <c r="F5" s="112"/>
      <c r="G5" s="112"/>
      <c r="H5" s="112"/>
      <c r="I5" s="112"/>
      <c r="J5" s="112"/>
      <c r="K5" s="112"/>
      <c r="L5" s="112"/>
      <c r="M5" s="353"/>
      <c r="N5" s="989"/>
      <c r="O5" s="989"/>
      <c r="P5" s="989"/>
      <c r="Q5" s="989"/>
      <c r="R5" s="989"/>
      <c r="S5" s="989"/>
      <c r="T5" s="989"/>
    </row>
    <row r="6" spans="1:21" s="353" customFormat="1" ht="24" customHeight="1" thickBot="1" x14ac:dyDescent="0.25">
      <c r="A6" s="354"/>
      <c r="B6" s="1096" t="s">
        <v>20</v>
      </c>
      <c r="C6" s="1096"/>
      <c r="D6" s="1096"/>
      <c r="E6" s="1096"/>
      <c r="F6" s="1096"/>
      <c r="G6" s="355"/>
      <c r="I6" s="1096" t="s">
        <v>136</v>
      </c>
      <c r="J6" s="1096"/>
      <c r="K6" s="1096"/>
      <c r="L6" s="1096"/>
      <c r="N6" s="990"/>
      <c r="O6" s="1098"/>
      <c r="P6" s="1098"/>
      <c r="Q6" s="1098"/>
      <c r="R6" s="1098"/>
      <c r="S6" s="1098"/>
      <c r="T6" s="1098"/>
      <c r="U6" s="354"/>
    </row>
    <row r="7" spans="1:21" s="353" customFormat="1" ht="59.45" customHeight="1" x14ac:dyDescent="0.2">
      <c r="A7" s="1249" t="s">
        <v>603</v>
      </c>
      <c r="B7" s="522"/>
      <c r="C7" s="1250" t="s">
        <v>40</v>
      </c>
      <c r="D7" s="1250" t="s">
        <v>134</v>
      </c>
      <c r="E7" s="1250" t="s">
        <v>83</v>
      </c>
      <c r="F7" s="1250" t="s">
        <v>614</v>
      </c>
      <c r="G7" s="1250" t="s">
        <v>149</v>
      </c>
      <c r="H7" s="522"/>
      <c r="I7" s="1250" t="s">
        <v>22</v>
      </c>
      <c r="J7" s="1250" t="s">
        <v>137</v>
      </c>
      <c r="K7" s="1250" t="s">
        <v>138</v>
      </c>
      <c r="L7" s="1250" t="s">
        <v>614</v>
      </c>
      <c r="M7" s="1251"/>
      <c r="N7" s="1252"/>
      <c r="O7" s="1253" t="s">
        <v>356</v>
      </c>
      <c r="P7" s="1253" t="s">
        <v>556</v>
      </c>
      <c r="Q7" s="1098"/>
      <c r="R7" s="1098"/>
      <c r="S7" s="1098"/>
      <c r="T7" s="1098"/>
      <c r="U7" s="354"/>
    </row>
    <row r="8" spans="1:21" s="353" customFormat="1" ht="19.899999999999999" hidden="1" customHeight="1" x14ac:dyDescent="0.2">
      <c r="A8" s="1254" t="s">
        <v>544</v>
      </c>
      <c r="B8" s="522"/>
      <c r="C8" s="1255" t="s">
        <v>386</v>
      </c>
      <c r="D8" s="1051" t="s">
        <v>388</v>
      </c>
      <c r="E8" s="1255">
        <f>IFERROR(C8-D8,0)</f>
        <v>0</v>
      </c>
      <c r="F8" s="1256" t="e">
        <f t="shared" ref="F8:F25" si="0">IF(AND(C8=0,D8=0),"N/A",IF(AND(C8=0,D8&lt;&gt;0),"Not Budgeted",D8/C8))</f>
        <v>#VALUE!</v>
      </c>
      <c r="G8" s="1257"/>
      <c r="H8" s="522"/>
      <c r="I8" s="1255" t="s">
        <v>387</v>
      </c>
      <c r="J8" s="1051" t="s">
        <v>389</v>
      </c>
      <c r="K8" s="1255">
        <f>IFERROR(I8-J8,0)</f>
        <v>0</v>
      </c>
      <c r="L8" s="1256" t="e">
        <f t="shared" ref="L8:L25" si="1">IF(AND(I8=0,J8=0),"N/A",IF(AND(I8=0,J8&lt;&gt;0),"Not Budgeted",J8/I8))</f>
        <v>#VALUE!</v>
      </c>
      <c r="M8" s="1251"/>
      <c r="N8" s="1252"/>
      <c r="O8" s="1253" t="s">
        <v>355</v>
      </c>
      <c r="P8" s="1258" t="s">
        <v>555</v>
      </c>
      <c r="Q8" s="1098"/>
      <c r="R8" s="1098"/>
      <c r="S8" s="1098"/>
      <c r="T8" s="1098"/>
      <c r="U8" s="354"/>
    </row>
    <row r="9" spans="1:21" s="353" customFormat="1" ht="161.25" customHeight="1" x14ac:dyDescent="0.2">
      <c r="A9" s="1254" t="s">
        <v>1039</v>
      </c>
      <c r="B9" s="522"/>
      <c r="C9" s="1255">
        <v>561181.93859999999</v>
      </c>
      <c r="D9" s="1051">
        <v>392902.54380642099</v>
      </c>
      <c r="E9" s="1255">
        <f t="shared" ref="E9:E21" si="2">IFERROR(C9-D9,0)</f>
        <v>168279.39479357901</v>
      </c>
      <c r="F9" s="1256">
        <f t="shared" si="0"/>
        <v>0.70013397934118937</v>
      </c>
      <c r="G9" s="1257" t="s">
        <v>1635</v>
      </c>
      <c r="H9" s="522"/>
      <c r="I9" s="1255">
        <v>561181.93859999999</v>
      </c>
      <c r="J9" s="1051">
        <v>392902.54380642099</v>
      </c>
      <c r="K9" s="1255">
        <f t="shared" ref="K9:K21" si="3">IFERROR(I9-J9,0)</f>
        <v>168279.39479357901</v>
      </c>
      <c r="L9" s="1256">
        <f t="shared" si="1"/>
        <v>0.70013397934118937</v>
      </c>
      <c r="M9" s="1251"/>
      <c r="N9" s="1252"/>
      <c r="O9" s="1253" t="s">
        <v>1040</v>
      </c>
      <c r="P9" s="1258">
        <v>1</v>
      </c>
      <c r="Q9" s="1098"/>
      <c r="R9" s="1098"/>
      <c r="S9" s="1098"/>
      <c r="T9" s="1098"/>
      <c r="U9" s="354"/>
    </row>
    <row r="10" spans="1:21" s="353" customFormat="1" ht="168" customHeight="1" x14ac:dyDescent="0.2">
      <c r="A10" s="1254" t="s">
        <v>1041</v>
      </c>
      <c r="B10" s="522"/>
      <c r="C10" s="1255">
        <v>382763.79929459997</v>
      </c>
      <c r="D10" s="1051">
        <v>124388.67169278563</v>
      </c>
      <c r="E10" s="1255">
        <f t="shared" si="2"/>
        <v>258375.12760181434</v>
      </c>
      <c r="F10" s="1256">
        <f t="shared" si="0"/>
        <v>0.32497501571993753</v>
      </c>
      <c r="G10" s="1257" t="s">
        <v>1636</v>
      </c>
      <c r="H10" s="522"/>
      <c r="I10" s="1255">
        <v>382763.79929459997</v>
      </c>
      <c r="J10" s="1051">
        <v>124388.67169278563</v>
      </c>
      <c r="K10" s="1255">
        <f t="shared" si="3"/>
        <v>258375.12760181434</v>
      </c>
      <c r="L10" s="1256">
        <f t="shared" si="1"/>
        <v>0.32497501571993753</v>
      </c>
      <c r="M10" s="1251"/>
      <c r="N10" s="1252"/>
      <c r="O10" s="1253" t="s">
        <v>1042</v>
      </c>
      <c r="P10" s="1258">
        <v>2</v>
      </c>
      <c r="Q10" s="1098"/>
      <c r="R10" s="1098"/>
      <c r="S10" s="1098"/>
      <c r="T10" s="1098"/>
      <c r="U10" s="354"/>
    </row>
    <row r="11" spans="1:21" s="353" customFormat="1" ht="160.5" customHeight="1" x14ac:dyDescent="0.2">
      <c r="A11" s="1254" t="s">
        <v>1043</v>
      </c>
      <c r="B11" s="522"/>
      <c r="C11" s="1255">
        <v>560998.467466</v>
      </c>
      <c r="D11" s="1051">
        <v>231734.60131894334</v>
      </c>
      <c r="E11" s="1255">
        <f t="shared" si="2"/>
        <v>329263.86614705669</v>
      </c>
      <c r="F11" s="1256">
        <f t="shared" si="0"/>
        <v>0.41307528408353078</v>
      </c>
      <c r="G11" s="1257" t="s">
        <v>1637</v>
      </c>
      <c r="H11" s="522"/>
      <c r="I11" s="1255">
        <v>560998.467466</v>
      </c>
      <c r="J11" s="1051">
        <v>231734.60131894334</v>
      </c>
      <c r="K11" s="1255">
        <f t="shared" si="3"/>
        <v>329263.86614705669</v>
      </c>
      <c r="L11" s="1256">
        <f t="shared" si="1"/>
        <v>0.41307528408353078</v>
      </c>
      <c r="M11" s="1251"/>
      <c r="N11" s="1252"/>
      <c r="O11" s="1253" t="s">
        <v>1044</v>
      </c>
      <c r="P11" s="1258">
        <v>3</v>
      </c>
      <c r="Q11" s="1098"/>
      <c r="R11" s="1098"/>
      <c r="S11" s="1098"/>
      <c r="T11" s="1098"/>
      <c r="U11" s="354"/>
    </row>
    <row r="12" spans="1:21" s="353" customFormat="1" ht="19.5" customHeight="1" x14ac:dyDescent="0.2">
      <c r="A12" s="1254" t="s">
        <v>1045</v>
      </c>
      <c r="B12" s="522"/>
      <c r="C12" s="1255">
        <v>766075.35869999998</v>
      </c>
      <c r="D12" s="1051">
        <v>801214.67</v>
      </c>
      <c r="E12" s="1255">
        <f t="shared" si="2"/>
        <v>-35139.311300000059</v>
      </c>
      <c r="F12" s="1256">
        <f t="shared" si="0"/>
        <v>1.0458692619478456</v>
      </c>
      <c r="G12" s="1257"/>
      <c r="H12" s="522"/>
      <c r="I12" s="1255">
        <v>766075.35869999998</v>
      </c>
      <c r="J12" s="1051">
        <v>801214.67</v>
      </c>
      <c r="K12" s="1255">
        <f t="shared" si="3"/>
        <v>-35139.311300000059</v>
      </c>
      <c r="L12" s="1256">
        <f t="shared" si="1"/>
        <v>1.0458692619478456</v>
      </c>
      <c r="M12" s="1251"/>
      <c r="N12" s="1252"/>
      <c r="O12" s="1253" t="s">
        <v>1046</v>
      </c>
      <c r="P12" s="1258">
        <v>4</v>
      </c>
      <c r="Q12" s="1098"/>
      <c r="R12" s="1098"/>
      <c r="S12" s="1098"/>
      <c r="T12" s="1098"/>
      <c r="U12" s="354"/>
    </row>
    <row r="13" spans="1:21" s="353" customFormat="1" ht="95.25" customHeight="1" x14ac:dyDescent="0.2">
      <c r="A13" s="1254" t="s">
        <v>1047</v>
      </c>
      <c r="B13" s="522"/>
      <c r="C13" s="1255">
        <v>542314.34120000002</v>
      </c>
      <c r="D13" s="1051">
        <v>421697.83196105936</v>
      </c>
      <c r="E13" s="1255">
        <f t="shared" si="2"/>
        <v>120616.50923894066</v>
      </c>
      <c r="F13" s="1256">
        <f t="shared" si="0"/>
        <v>0.77758930554547423</v>
      </c>
      <c r="G13" s="1257" t="s">
        <v>1638</v>
      </c>
      <c r="H13" s="522"/>
      <c r="I13" s="1255">
        <v>542314.34120000002</v>
      </c>
      <c r="J13" s="1051">
        <v>421697.83196105936</v>
      </c>
      <c r="K13" s="1255">
        <f t="shared" si="3"/>
        <v>120616.50923894066</v>
      </c>
      <c r="L13" s="1256">
        <f t="shared" si="1"/>
        <v>0.77758930554547423</v>
      </c>
      <c r="M13" s="1251"/>
      <c r="N13" s="1252"/>
      <c r="O13" s="1253" t="s">
        <v>1048</v>
      </c>
      <c r="P13" s="1258">
        <v>5</v>
      </c>
      <c r="Q13" s="1098"/>
      <c r="R13" s="1098"/>
      <c r="S13" s="1098"/>
      <c r="T13" s="1098"/>
      <c r="U13" s="354"/>
    </row>
    <row r="14" spans="1:21" s="353" customFormat="1" ht="120" customHeight="1" x14ac:dyDescent="0.2">
      <c r="A14" s="1254" t="s">
        <v>1049</v>
      </c>
      <c r="B14" s="522"/>
      <c r="C14" s="1255">
        <v>1870670</v>
      </c>
      <c r="D14" s="1051">
        <v>562719.60962526617</v>
      </c>
      <c r="E14" s="1255">
        <f t="shared" si="2"/>
        <v>1307950.3903747338</v>
      </c>
      <c r="F14" s="1256">
        <f t="shared" si="0"/>
        <v>0.30081179984992873</v>
      </c>
      <c r="G14" s="1257" t="s">
        <v>1639</v>
      </c>
      <c r="H14" s="522"/>
      <c r="I14" s="1255">
        <v>1870670</v>
      </c>
      <c r="J14" s="1051">
        <v>562719.60962526617</v>
      </c>
      <c r="K14" s="1255">
        <f t="shared" si="3"/>
        <v>1307950.3903747338</v>
      </c>
      <c r="L14" s="1256">
        <f t="shared" si="1"/>
        <v>0.30081179984992873</v>
      </c>
      <c r="M14" s="1251"/>
      <c r="N14" s="1252"/>
      <c r="O14" s="1253" t="s">
        <v>1050</v>
      </c>
      <c r="P14" s="1258">
        <v>6</v>
      </c>
      <c r="Q14" s="1098"/>
      <c r="R14" s="1098"/>
      <c r="S14" s="1098"/>
      <c r="T14" s="1098"/>
      <c r="U14" s="354"/>
    </row>
    <row r="15" spans="1:21" s="353" customFormat="1" ht="68.25" customHeight="1" x14ac:dyDescent="0.2">
      <c r="A15" s="1254" t="s">
        <v>1051</v>
      </c>
      <c r="B15" s="522"/>
      <c r="C15" s="1255">
        <v>167149.98620000001</v>
      </c>
      <c r="D15" s="1051">
        <v>56922.493199044366</v>
      </c>
      <c r="E15" s="1255">
        <f t="shared" si="2"/>
        <v>110227.49300095564</v>
      </c>
      <c r="F15" s="1256">
        <f t="shared" si="0"/>
        <v>0.34054739993178867</v>
      </c>
      <c r="G15" s="1257" t="s">
        <v>1640</v>
      </c>
      <c r="H15" s="522"/>
      <c r="I15" s="1255">
        <v>167149.98620000001</v>
      </c>
      <c r="J15" s="1051">
        <v>56922.493199044366</v>
      </c>
      <c r="K15" s="1255">
        <f t="shared" si="3"/>
        <v>110227.49300095564</v>
      </c>
      <c r="L15" s="1256">
        <f t="shared" si="1"/>
        <v>0.34054739993178867</v>
      </c>
      <c r="M15" s="1251"/>
      <c r="N15" s="1252"/>
      <c r="O15" s="1253" t="s">
        <v>1052</v>
      </c>
      <c r="P15" s="1258">
        <v>7</v>
      </c>
      <c r="Q15" s="1098"/>
      <c r="R15" s="1098"/>
      <c r="S15" s="1098"/>
      <c r="T15" s="1098"/>
      <c r="U15" s="354"/>
    </row>
    <row r="16" spans="1:21" s="353" customFormat="1" ht="33" customHeight="1" x14ac:dyDescent="0.2">
      <c r="A16" s="1254" t="s">
        <v>1053</v>
      </c>
      <c r="B16" s="522"/>
      <c r="C16" s="1255">
        <v>200649.46536100001</v>
      </c>
      <c r="D16" s="1051">
        <v>3088.8642175529626</v>
      </c>
      <c r="E16" s="1255">
        <f t="shared" si="2"/>
        <v>197560.60114344704</v>
      </c>
      <c r="F16" s="1256">
        <f t="shared" si="0"/>
        <v>1.5394330665150835E-2</v>
      </c>
      <c r="G16" s="1257" t="s">
        <v>1641</v>
      </c>
      <c r="H16" s="522"/>
      <c r="I16" s="1255">
        <v>200649.46536100001</v>
      </c>
      <c r="J16" s="1051">
        <v>3088.8642175529626</v>
      </c>
      <c r="K16" s="1255">
        <f t="shared" si="3"/>
        <v>197560.60114344704</v>
      </c>
      <c r="L16" s="1256">
        <f t="shared" si="1"/>
        <v>1.5394330665150835E-2</v>
      </c>
      <c r="M16" s="1251"/>
      <c r="N16" s="1252"/>
      <c r="O16" s="1253" t="s">
        <v>1054</v>
      </c>
      <c r="P16" s="1258">
        <v>8</v>
      </c>
      <c r="Q16" s="1098"/>
      <c r="R16" s="1098"/>
      <c r="S16" s="1098"/>
      <c r="T16" s="1098"/>
      <c r="U16" s="354"/>
    </row>
    <row r="17" spans="1:25" s="353" customFormat="1" ht="71.25" customHeight="1" x14ac:dyDescent="0.2">
      <c r="A17" s="1254" t="s">
        <v>1055</v>
      </c>
      <c r="B17" s="522"/>
      <c r="C17" s="1255">
        <v>240389.5926222</v>
      </c>
      <c r="D17" s="1051">
        <v>207594.93166751953</v>
      </c>
      <c r="E17" s="1255">
        <f t="shared" si="2"/>
        <v>32794.660954680468</v>
      </c>
      <c r="F17" s="1256">
        <f t="shared" si="0"/>
        <v>0.86357703510808359</v>
      </c>
      <c r="G17" s="1257" t="s">
        <v>1642</v>
      </c>
      <c r="H17" s="522"/>
      <c r="I17" s="1255">
        <v>240389.5926222</v>
      </c>
      <c r="J17" s="1051">
        <v>207594.93166751953</v>
      </c>
      <c r="K17" s="1255">
        <f t="shared" si="3"/>
        <v>32794.660954680468</v>
      </c>
      <c r="L17" s="1256">
        <f t="shared" si="1"/>
        <v>0.86357703510808359</v>
      </c>
      <c r="M17" s="1251"/>
      <c r="N17" s="1252"/>
      <c r="O17" s="1253" t="s">
        <v>1056</v>
      </c>
      <c r="P17" s="1258">
        <v>9</v>
      </c>
      <c r="Q17" s="1098"/>
      <c r="R17" s="1098"/>
      <c r="S17" s="1098"/>
      <c r="T17" s="1098"/>
      <c r="U17" s="354"/>
    </row>
    <row r="18" spans="1:25" s="353" customFormat="1" ht="64.5" customHeight="1" x14ac:dyDescent="0.2">
      <c r="A18" s="1254" t="s">
        <v>1057</v>
      </c>
      <c r="B18" s="522"/>
      <c r="C18" s="1255">
        <v>3463.353392</v>
      </c>
      <c r="D18" s="1051">
        <v>265.64389044065541</v>
      </c>
      <c r="E18" s="1255">
        <f t="shared" si="2"/>
        <v>3197.7095015593445</v>
      </c>
      <c r="F18" s="1256">
        <f t="shared" si="0"/>
        <v>7.670135281437529E-2</v>
      </c>
      <c r="G18" s="1257" t="s">
        <v>1643</v>
      </c>
      <c r="H18" s="522"/>
      <c r="I18" s="1255">
        <v>3463.353392</v>
      </c>
      <c r="J18" s="1051">
        <v>265.64389044065541</v>
      </c>
      <c r="K18" s="1255">
        <f t="shared" si="3"/>
        <v>3197.7095015593445</v>
      </c>
      <c r="L18" s="1256">
        <f t="shared" si="1"/>
        <v>7.670135281437529E-2</v>
      </c>
      <c r="M18" s="1251"/>
      <c r="N18" s="1252"/>
      <c r="O18" s="1253" t="s">
        <v>1058</v>
      </c>
      <c r="P18" s="1258">
        <v>10</v>
      </c>
      <c r="Q18" s="1098"/>
      <c r="R18" s="1098"/>
      <c r="S18" s="1098"/>
      <c r="T18" s="1098"/>
      <c r="U18" s="354"/>
    </row>
    <row r="19" spans="1:25" s="353" customFormat="1" ht="57" customHeight="1" x14ac:dyDescent="0.2">
      <c r="A19" s="1254" t="s">
        <v>1059</v>
      </c>
      <c r="B19" s="522"/>
      <c r="C19" s="1255">
        <v>15033.6179056</v>
      </c>
      <c r="D19" s="1051">
        <v>5398.4740191882665</v>
      </c>
      <c r="E19" s="1255">
        <f t="shared" si="2"/>
        <v>9635.1438864117335</v>
      </c>
      <c r="F19" s="1256">
        <f t="shared" si="0"/>
        <v>0.35909346992099239</v>
      </c>
      <c r="G19" s="1257" t="s">
        <v>1714</v>
      </c>
      <c r="H19" s="522"/>
      <c r="I19" s="1255">
        <v>15033.6179056</v>
      </c>
      <c r="J19" s="1051">
        <v>20829.382128130477</v>
      </c>
      <c r="K19" s="1255">
        <f t="shared" si="3"/>
        <v>-5795.7642225304771</v>
      </c>
      <c r="L19" s="1256">
        <f t="shared" si="1"/>
        <v>1.3855202559306474</v>
      </c>
      <c r="M19" s="1251"/>
      <c r="N19" s="1252"/>
      <c r="O19" s="1253" t="s">
        <v>1060</v>
      </c>
      <c r="P19" s="1258">
        <v>11</v>
      </c>
      <c r="Q19" s="1098"/>
      <c r="R19" s="1098"/>
      <c r="S19" s="1098"/>
      <c r="T19" s="1098"/>
      <c r="U19" s="354"/>
    </row>
    <row r="20" spans="1:25" s="353" customFormat="1" ht="79.5" customHeight="1" x14ac:dyDescent="0.2">
      <c r="A20" s="1254" t="s">
        <v>1061</v>
      </c>
      <c r="B20" s="522"/>
      <c r="C20" s="1255">
        <v>378322.59404</v>
      </c>
      <c r="D20" s="1051">
        <v>209184.02832109219</v>
      </c>
      <c r="E20" s="1255">
        <f t="shared" si="2"/>
        <v>169138.5657189078</v>
      </c>
      <c r="F20" s="1256">
        <f t="shared" si="0"/>
        <v>0.5529250211764386</v>
      </c>
      <c r="G20" s="1257" t="s">
        <v>1644</v>
      </c>
      <c r="H20" s="522"/>
      <c r="I20" s="1255">
        <v>378322.59404</v>
      </c>
      <c r="J20" s="1051">
        <v>209184.02832109219</v>
      </c>
      <c r="K20" s="1255">
        <f t="shared" si="3"/>
        <v>169138.5657189078</v>
      </c>
      <c r="L20" s="1256">
        <f t="shared" si="1"/>
        <v>0.5529250211764386</v>
      </c>
      <c r="M20" s="1251"/>
      <c r="N20" s="1252"/>
      <c r="O20" s="1253" t="s">
        <v>1062</v>
      </c>
      <c r="P20" s="1258">
        <v>12</v>
      </c>
      <c r="Q20" s="1098"/>
      <c r="R20" s="1098"/>
      <c r="S20" s="1098"/>
      <c r="T20" s="1098"/>
      <c r="U20" s="354"/>
    </row>
    <row r="21" spans="1:25" s="353" customFormat="1" ht="19.899999999999999" customHeight="1" x14ac:dyDescent="0.2">
      <c r="A21" s="1254" t="s">
        <v>1063</v>
      </c>
      <c r="B21" s="522"/>
      <c r="C21" s="1255">
        <v>0</v>
      </c>
      <c r="D21" s="1051">
        <v>0</v>
      </c>
      <c r="E21" s="1255">
        <f t="shared" si="2"/>
        <v>0</v>
      </c>
      <c r="F21" s="1256" t="str">
        <f t="shared" si="0"/>
        <v>N/A</v>
      </c>
      <c r="G21" s="1257"/>
      <c r="H21" s="522"/>
      <c r="I21" s="1255">
        <v>0</v>
      </c>
      <c r="J21" s="1051">
        <v>0</v>
      </c>
      <c r="K21" s="1255">
        <f t="shared" si="3"/>
        <v>0</v>
      </c>
      <c r="L21" s="1256" t="str">
        <f t="shared" si="1"/>
        <v>N/A</v>
      </c>
      <c r="M21" s="1251"/>
      <c r="N21" s="1252"/>
      <c r="O21" s="1253" t="s">
        <v>1064</v>
      </c>
      <c r="P21" s="1258">
        <v>13</v>
      </c>
      <c r="Q21" s="1098"/>
      <c r="R21" s="1098"/>
      <c r="S21" s="1098"/>
      <c r="T21" s="1098"/>
      <c r="U21" s="354"/>
    </row>
    <row r="22" spans="1:25" s="356" customFormat="1" ht="21" hidden="1" customHeight="1" x14ac:dyDescent="0.2">
      <c r="D22" s="356" t="s">
        <v>595</v>
      </c>
      <c r="J22" s="1097" t="s">
        <v>596</v>
      </c>
      <c r="N22" s="993"/>
      <c r="O22" s="1102" t="s">
        <v>356</v>
      </c>
      <c r="P22" s="1115" t="s">
        <v>556</v>
      </c>
      <c r="Q22" s="1103" t="s">
        <v>601</v>
      </c>
      <c r="R22" s="1103"/>
      <c r="S22" s="1103"/>
      <c r="T22" s="1103"/>
      <c r="U22" s="1100"/>
      <c r="V22" s="1086"/>
      <c r="W22" s="1086"/>
      <c r="X22" s="1086"/>
      <c r="Y22" s="1086"/>
    </row>
    <row r="23" spans="1:25" s="353" customFormat="1" ht="20.45" hidden="1" customHeight="1" x14ac:dyDescent="0.2">
      <c r="A23" s="896" t="s">
        <v>612</v>
      </c>
      <c r="B23" s="580"/>
      <c r="C23" s="576" t="s">
        <v>386</v>
      </c>
      <c r="D23" s="575" t="s">
        <v>388</v>
      </c>
      <c r="E23" s="576">
        <f>IFERROR(C23-D23,0)</f>
        <v>0</v>
      </c>
      <c r="F23" s="577" t="e">
        <f t="shared" si="0"/>
        <v>#VALUE!</v>
      </c>
      <c r="G23" s="891"/>
      <c r="H23" s="580"/>
      <c r="I23" s="576" t="s">
        <v>387</v>
      </c>
      <c r="J23" s="575" t="s">
        <v>389</v>
      </c>
      <c r="K23" s="576">
        <f>IFERROR(I23-J23,0)</f>
        <v>0</v>
      </c>
      <c r="L23" s="577" t="e">
        <f t="shared" si="1"/>
        <v>#VALUE!</v>
      </c>
      <c r="M23" s="600"/>
      <c r="N23" s="992"/>
      <c r="O23" s="1101" t="s">
        <v>355</v>
      </c>
      <c r="P23" s="1116" t="s">
        <v>555</v>
      </c>
      <c r="Q23" s="1098" t="s">
        <v>600</v>
      </c>
      <c r="R23" s="1098"/>
      <c r="S23" s="1098"/>
      <c r="T23" s="1098"/>
      <c r="U23" s="1099"/>
      <c r="V23" s="1087"/>
      <c r="W23" s="1087"/>
      <c r="X23" s="1087"/>
      <c r="Y23" s="1087"/>
    </row>
    <row r="24" spans="1:25" s="353" customFormat="1" ht="19.899999999999999" hidden="1" customHeight="1" x14ac:dyDescent="0.2">
      <c r="A24" s="1075"/>
      <c r="B24" s="1076"/>
      <c r="C24" s="980"/>
      <c r="D24" s="980"/>
      <c r="E24" s="981"/>
      <c r="F24" s="982"/>
      <c r="G24" s="1077"/>
      <c r="H24" s="983"/>
      <c r="I24" s="980"/>
      <c r="J24" s="980"/>
      <c r="K24" s="981"/>
      <c r="L24" s="982"/>
      <c r="M24" s="600"/>
      <c r="N24" s="992"/>
      <c r="O24" s="1101" t="s">
        <v>356</v>
      </c>
      <c r="P24" s="1101"/>
      <c r="Q24" s="1098"/>
      <c r="R24" s="1098"/>
      <c r="S24" s="1098" t="s">
        <v>599</v>
      </c>
      <c r="T24" s="1098"/>
      <c r="U24" s="1099"/>
      <c r="V24" s="1087"/>
      <c r="W24" s="1087"/>
      <c r="X24" s="1087"/>
      <c r="Y24" s="1087"/>
    </row>
    <row r="25" spans="1:25" s="353" customFormat="1" ht="23.1" hidden="1" customHeight="1" x14ac:dyDescent="0.2">
      <c r="A25" s="1089"/>
      <c r="B25" s="624"/>
      <c r="C25" s="576" t="s">
        <v>386</v>
      </c>
      <c r="D25" s="575" t="s">
        <v>388</v>
      </c>
      <c r="E25" s="576">
        <f>IFERROR(C25-D25,0)</f>
        <v>0</v>
      </c>
      <c r="F25" s="577" t="e">
        <f t="shared" si="0"/>
        <v>#VALUE!</v>
      </c>
      <c r="G25" s="891"/>
      <c r="H25" s="580"/>
      <c r="I25" s="576" t="s">
        <v>387</v>
      </c>
      <c r="J25" s="575" t="s">
        <v>389</v>
      </c>
      <c r="K25" s="576">
        <f>IFERROR(I25-J25,0)</f>
        <v>0</v>
      </c>
      <c r="L25" s="577" t="e">
        <f t="shared" si="1"/>
        <v>#VALUE!</v>
      </c>
      <c r="M25" s="600"/>
      <c r="N25" s="992"/>
      <c r="O25" s="1101" t="s">
        <v>355</v>
      </c>
      <c r="P25" s="1101"/>
      <c r="Q25" s="1098"/>
      <c r="R25" s="1098"/>
      <c r="S25" s="1098" t="str">
        <f>IF(A25&lt;&gt;"",VLOOKUP(A25,'Reference Records'!$E$97:$G$174,3,FALSE),"")</f>
        <v/>
      </c>
      <c r="T25" s="1098"/>
      <c r="U25" s="1099"/>
      <c r="V25" s="1087"/>
      <c r="W25" s="1087"/>
      <c r="X25" s="1087"/>
      <c r="Y25" s="1087"/>
    </row>
    <row r="26" spans="1:25" s="353" customFormat="1" ht="15" hidden="1" customHeight="1" thickBot="1" x14ac:dyDescent="0.25">
      <c r="A26" s="603"/>
      <c r="B26" s="607"/>
      <c r="C26" s="607"/>
      <c r="D26" s="607"/>
      <c r="E26" s="607"/>
      <c r="F26" s="607"/>
      <c r="G26" s="607"/>
      <c r="H26" s="1071"/>
      <c r="I26" s="607"/>
      <c r="J26" s="607"/>
      <c r="K26" s="607"/>
      <c r="L26" s="607"/>
      <c r="M26" s="601"/>
      <c r="N26" s="994"/>
      <c r="O26" s="1101"/>
      <c r="P26" s="1101"/>
      <c r="Q26" s="1098"/>
      <c r="R26" s="1098"/>
      <c r="S26" s="1098"/>
      <c r="T26" s="1098"/>
      <c r="U26" s="1099"/>
      <c r="V26" s="1087"/>
      <c r="W26" s="1087"/>
      <c r="X26" s="1087"/>
      <c r="Y26" s="1087"/>
    </row>
    <row r="27" spans="1:25" s="353" customFormat="1" ht="27" customHeight="1" thickBot="1" x14ac:dyDescent="0.25">
      <c r="A27" s="1088" t="s">
        <v>86</v>
      </c>
      <c r="B27" s="1072"/>
      <c r="C27" s="1073">
        <f>ROUND(SUM(C8:C26),2)</f>
        <v>5689012.5099999998</v>
      </c>
      <c r="D27" s="1073">
        <f>ROUND(SUM(D8:D26),2)</f>
        <v>3017112.36</v>
      </c>
      <c r="E27" s="1073">
        <f>ROUND(SUM(E8:E26),2)</f>
        <v>2671900.15</v>
      </c>
      <c r="F27" s="1074">
        <f>D27/C27</f>
        <v>0.53034025759243764</v>
      </c>
      <c r="G27" s="1074"/>
      <c r="H27" s="1072"/>
      <c r="I27" s="1073">
        <f>ROUND(SUM(I8:I26),2)</f>
        <v>5689012.5099999998</v>
      </c>
      <c r="J27" s="1073">
        <f>ROUND(SUM(J8:J26),2)</f>
        <v>3032543.27</v>
      </c>
      <c r="K27" s="1073">
        <f>SUM(K8:K26)</f>
        <v>2656469.2429531445</v>
      </c>
      <c r="L27" s="1074">
        <f>J27/I27</f>
        <v>0.53305266329955747</v>
      </c>
      <c r="N27" s="990"/>
      <c r="O27" s="1098"/>
      <c r="P27" s="1098"/>
      <c r="Q27" s="1098"/>
      <c r="R27" s="1098"/>
      <c r="S27" s="1098"/>
      <c r="T27" s="1098"/>
      <c r="U27" s="1099"/>
      <c r="V27" s="1087"/>
      <c r="W27" s="1087"/>
      <c r="X27" s="1087"/>
      <c r="Y27" s="1087"/>
    </row>
    <row r="28" spans="1:25" s="353" customFormat="1" ht="28.5" customHeight="1" x14ac:dyDescent="0.2">
      <c r="N28" s="990"/>
      <c r="O28" s="1098"/>
      <c r="P28" s="1098"/>
      <c r="Q28" s="1098"/>
      <c r="R28" s="1098"/>
      <c r="S28" s="1098"/>
      <c r="T28" s="1098"/>
      <c r="U28" s="354"/>
    </row>
    <row r="29" spans="1:25" s="353" customFormat="1" ht="21" customHeight="1" thickBot="1" x14ac:dyDescent="0.25">
      <c r="A29" s="109" t="s">
        <v>267</v>
      </c>
      <c r="B29" s="112"/>
      <c r="C29" s="112"/>
      <c r="D29" s="109"/>
      <c r="E29" s="112"/>
      <c r="F29" s="112"/>
      <c r="G29" s="112"/>
      <c r="I29" s="112"/>
      <c r="J29" s="112"/>
      <c r="K29" s="112"/>
      <c r="L29" s="112"/>
      <c r="N29" s="990"/>
      <c r="O29" s="1098"/>
      <c r="P29" s="1098"/>
      <c r="Q29" s="1098"/>
      <c r="R29" s="1098"/>
      <c r="S29" s="1098"/>
      <c r="T29" s="1098"/>
      <c r="U29" s="354"/>
    </row>
    <row r="30" spans="1:25" s="353" customFormat="1" ht="20.45" customHeight="1" thickBot="1" x14ac:dyDescent="0.25">
      <c r="A30" s="605"/>
      <c r="B30" s="606"/>
      <c r="C30" s="606"/>
      <c r="D30" s="606"/>
      <c r="E30" s="606"/>
      <c r="F30" s="606"/>
      <c r="G30" s="1070"/>
      <c r="H30" s="601"/>
      <c r="I30" s="606"/>
      <c r="J30" s="606"/>
      <c r="K30" s="606"/>
      <c r="L30" s="601"/>
      <c r="M30" s="599"/>
      <c r="N30" s="991"/>
      <c r="O30" s="1101"/>
      <c r="P30" s="1101"/>
      <c r="Q30" s="1098"/>
      <c r="R30" s="1098"/>
      <c r="S30" s="1098"/>
      <c r="T30" s="1098"/>
      <c r="U30" s="354"/>
    </row>
    <row r="31" spans="1:25" s="356" customFormat="1" ht="59.45" customHeight="1" x14ac:dyDescent="0.2">
      <c r="A31" s="1259" t="s">
        <v>206</v>
      </c>
      <c r="B31" s="1259" t="s">
        <v>88</v>
      </c>
      <c r="C31" s="1250" t="s">
        <v>40</v>
      </c>
      <c r="D31" s="1250" t="s">
        <v>134</v>
      </c>
      <c r="E31" s="1250" t="s">
        <v>83</v>
      </c>
      <c r="F31" s="1250" t="s">
        <v>614</v>
      </c>
      <c r="G31" s="1250" t="s">
        <v>85</v>
      </c>
      <c r="H31" s="522"/>
      <c r="I31" s="1250" t="s">
        <v>22</v>
      </c>
      <c r="J31" s="1250" t="s">
        <v>137</v>
      </c>
      <c r="K31" s="1250" t="s">
        <v>138</v>
      </c>
      <c r="L31" s="1250" t="s">
        <v>614</v>
      </c>
      <c r="M31" s="1260"/>
      <c r="N31" s="1261"/>
      <c r="O31" s="1262" t="s">
        <v>356</v>
      </c>
      <c r="P31" s="1102"/>
      <c r="Q31" s="1103"/>
      <c r="R31" s="1103"/>
      <c r="S31" s="1103"/>
      <c r="T31" s="1103"/>
      <c r="U31" s="1104"/>
    </row>
    <row r="32" spans="1:25" s="353" customFormat="1" hidden="1" x14ac:dyDescent="0.2">
      <c r="A32" s="1263" t="s">
        <v>400</v>
      </c>
      <c r="B32" s="1263" t="s">
        <v>337</v>
      </c>
      <c r="C32" s="1255" t="s">
        <v>386</v>
      </c>
      <c r="D32" s="1051" t="s">
        <v>388</v>
      </c>
      <c r="E32" s="1255">
        <f>IFERROR(C32-D32,0)</f>
        <v>0</v>
      </c>
      <c r="F32" s="1256" t="e">
        <f t="shared" ref="F32:F40" si="4">IF(AND(C32=0,D32=0),"N/A",IF(AND(C32=0,D32&lt;&gt;0),"Not Budgeted",D32/C32))</f>
        <v>#VALUE!</v>
      </c>
      <c r="G32" s="1264"/>
      <c r="H32" s="522"/>
      <c r="I32" s="1255" t="s">
        <v>387</v>
      </c>
      <c r="J32" s="1051" t="s">
        <v>389</v>
      </c>
      <c r="K32" s="1255">
        <f>IFERROR(I32-J32,0)</f>
        <v>0</v>
      </c>
      <c r="L32" s="1256" t="e">
        <f t="shared" ref="L32:L40" si="5">IF(AND(I32=0,J32=0),"N/A",IF(AND(I32=0,J32&lt;&gt;0),"Not Budgeted",J32/I32))</f>
        <v>#VALUE!</v>
      </c>
      <c r="M32" s="1251"/>
      <c r="N32" s="1252"/>
      <c r="O32" s="1253" t="s">
        <v>355</v>
      </c>
      <c r="P32" s="1101"/>
      <c r="Q32" s="1098"/>
      <c r="R32" s="1098"/>
      <c r="S32" s="1098"/>
      <c r="T32" s="1098"/>
      <c r="U32" s="354"/>
    </row>
    <row r="33" spans="1:21" s="353" customFormat="1" ht="90" x14ac:dyDescent="0.2">
      <c r="A33" s="1263" t="s">
        <v>989</v>
      </c>
      <c r="B33" s="1263" t="s">
        <v>1065</v>
      </c>
      <c r="C33" s="1255">
        <v>2512046.3573889998</v>
      </c>
      <c r="D33" s="1051">
        <v>1006015.0742753878</v>
      </c>
      <c r="E33" s="1255">
        <f t="shared" ref="E33:E40" si="6">IFERROR(C33-D33,0)</f>
        <v>1506031.2831136119</v>
      </c>
      <c r="F33" s="1256">
        <f t="shared" si="4"/>
        <v>0.40047631737219674</v>
      </c>
      <c r="G33" s="1264" t="s">
        <v>1645</v>
      </c>
      <c r="H33" s="522"/>
      <c r="I33" s="1255">
        <v>2512046.3573889998</v>
      </c>
      <c r="J33" s="1051">
        <v>1006165.9693173512</v>
      </c>
      <c r="K33" s="1255">
        <f t="shared" ref="K33:K40" si="7">IFERROR(I33-J33,0)</f>
        <v>1505880.3880716485</v>
      </c>
      <c r="L33" s="1256">
        <f t="shared" si="5"/>
        <v>0.40053638594597907</v>
      </c>
      <c r="M33" s="1251"/>
      <c r="N33" s="1252"/>
      <c r="O33" s="1253" t="s">
        <v>1066</v>
      </c>
      <c r="P33" s="1101"/>
      <c r="Q33" s="1098"/>
      <c r="R33" s="1098"/>
      <c r="S33" s="1098"/>
      <c r="T33" s="1098"/>
      <c r="U33" s="354"/>
    </row>
    <row r="34" spans="1:21" s="353" customFormat="1" ht="45" x14ac:dyDescent="0.2">
      <c r="A34" s="1263" t="s">
        <v>989</v>
      </c>
      <c r="B34" s="1263" t="s">
        <v>1067</v>
      </c>
      <c r="C34" s="1255">
        <v>1834029.8147048</v>
      </c>
      <c r="D34" s="1051">
        <v>1300854.0206626051</v>
      </c>
      <c r="E34" s="1255">
        <f t="shared" si="6"/>
        <v>533175.79404219496</v>
      </c>
      <c r="F34" s="1256">
        <f t="shared" si="4"/>
        <v>0.7092872810641776</v>
      </c>
      <c r="G34" s="1264" t="s">
        <v>1646</v>
      </c>
      <c r="H34" s="522"/>
      <c r="I34" s="1255">
        <v>1834029.8147048</v>
      </c>
      <c r="J34" s="1051">
        <v>1307900.1672557155</v>
      </c>
      <c r="K34" s="1255">
        <f t="shared" si="7"/>
        <v>526129.64744908456</v>
      </c>
      <c r="L34" s="1256">
        <f t="shared" si="5"/>
        <v>0.71312917422023003</v>
      </c>
      <c r="M34" s="1251"/>
      <c r="N34" s="1252"/>
      <c r="O34" s="1253" t="s">
        <v>1068</v>
      </c>
      <c r="P34" s="1101"/>
      <c r="Q34" s="1098"/>
      <c r="R34" s="1098"/>
      <c r="S34" s="1098"/>
      <c r="T34" s="1098"/>
      <c r="U34" s="354"/>
    </row>
    <row r="35" spans="1:21" s="353" customFormat="1" ht="75" x14ac:dyDescent="0.2">
      <c r="A35" s="1263" t="s">
        <v>1012</v>
      </c>
      <c r="B35" s="1263" t="s">
        <v>1013</v>
      </c>
      <c r="C35" s="1255">
        <v>279706.69725899998</v>
      </c>
      <c r="D35" s="1051">
        <v>129331.94628899785</v>
      </c>
      <c r="E35" s="1255">
        <f t="shared" si="6"/>
        <v>150374.75097000215</v>
      </c>
      <c r="F35" s="1256">
        <f t="shared" si="4"/>
        <v>0.46238416010911731</v>
      </c>
      <c r="G35" s="1264" t="s">
        <v>1647</v>
      </c>
      <c r="H35" s="522"/>
      <c r="I35" s="1255">
        <v>279706.69725899998</v>
      </c>
      <c r="J35" s="1051">
        <v>129331.94628899785</v>
      </c>
      <c r="K35" s="1255">
        <f t="shared" si="7"/>
        <v>150374.75097000215</v>
      </c>
      <c r="L35" s="1256">
        <f t="shared" si="5"/>
        <v>0.46238416010911731</v>
      </c>
      <c r="M35" s="1251"/>
      <c r="N35" s="1252"/>
      <c r="O35" s="1253" t="s">
        <v>1069</v>
      </c>
      <c r="P35" s="1101"/>
      <c r="Q35" s="1098"/>
      <c r="R35" s="1098"/>
      <c r="S35" s="1098"/>
      <c r="T35" s="1098"/>
      <c r="U35" s="354"/>
    </row>
    <row r="36" spans="1:21" s="353" customFormat="1" x14ac:dyDescent="0.2">
      <c r="A36" s="1263" t="s">
        <v>1070</v>
      </c>
      <c r="B36" s="1263" t="s">
        <v>1070</v>
      </c>
      <c r="C36" s="1255">
        <v>61064.344775999998</v>
      </c>
      <c r="D36" s="1051">
        <v>0</v>
      </c>
      <c r="E36" s="1255">
        <f t="shared" si="6"/>
        <v>61064.344775999998</v>
      </c>
      <c r="F36" s="1256">
        <f t="shared" si="4"/>
        <v>0</v>
      </c>
      <c r="G36" s="1264" t="s">
        <v>1651</v>
      </c>
      <c r="H36" s="522"/>
      <c r="I36" s="1255">
        <v>61064.344775999998</v>
      </c>
      <c r="J36" s="1051">
        <v>0</v>
      </c>
      <c r="K36" s="1255">
        <f t="shared" si="7"/>
        <v>61064.344775999998</v>
      </c>
      <c r="L36" s="1256">
        <f t="shared" si="5"/>
        <v>0</v>
      </c>
      <c r="M36" s="1251"/>
      <c r="N36" s="1252"/>
      <c r="O36" s="1253" t="s">
        <v>1071</v>
      </c>
      <c r="P36" s="1101"/>
      <c r="Q36" s="1098"/>
      <c r="R36" s="1098"/>
      <c r="S36" s="1098"/>
      <c r="T36" s="1098"/>
      <c r="U36" s="354"/>
    </row>
    <row r="37" spans="1:21" s="353" customFormat="1" ht="30" x14ac:dyDescent="0.2">
      <c r="A37" s="1263" t="s">
        <v>1072</v>
      </c>
      <c r="B37" s="1263" t="s">
        <v>1073</v>
      </c>
      <c r="C37" s="1255">
        <v>475506.76653199998</v>
      </c>
      <c r="D37" s="1051">
        <v>377416.65402461932</v>
      </c>
      <c r="E37" s="1255">
        <f t="shared" si="6"/>
        <v>98090.112507380662</v>
      </c>
      <c r="F37" s="1256">
        <f t="shared" si="4"/>
        <v>0.79371458113461035</v>
      </c>
      <c r="G37" s="1264" t="s">
        <v>1648</v>
      </c>
      <c r="H37" s="522"/>
      <c r="I37" s="1255">
        <v>475506.76653199998</v>
      </c>
      <c r="J37" s="1051">
        <v>385650.52049848781</v>
      </c>
      <c r="K37" s="1255">
        <f t="shared" si="7"/>
        <v>89856.246033512172</v>
      </c>
      <c r="L37" s="1256">
        <f t="shared" si="5"/>
        <v>0.81103056284801545</v>
      </c>
      <c r="M37" s="1251"/>
      <c r="N37" s="1252"/>
      <c r="O37" s="1253" t="s">
        <v>1074</v>
      </c>
      <c r="P37" s="1101"/>
      <c r="Q37" s="1098"/>
      <c r="R37" s="1098"/>
      <c r="S37" s="1098"/>
      <c r="T37" s="1098"/>
      <c r="U37" s="354"/>
    </row>
    <row r="38" spans="1:21" s="353" customFormat="1" ht="30" x14ac:dyDescent="0.2">
      <c r="A38" s="1263" t="s">
        <v>1075</v>
      </c>
      <c r="B38" s="1263" t="s">
        <v>1076</v>
      </c>
      <c r="C38" s="1255">
        <v>107026.095503</v>
      </c>
      <c r="D38" s="1051">
        <v>66629.253142432484</v>
      </c>
      <c r="E38" s="1255">
        <f t="shared" si="6"/>
        <v>40396.84236056752</v>
      </c>
      <c r="F38" s="1256">
        <f t="shared" si="4"/>
        <v>0.62255147054827231</v>
      </c>
      <c r="G38" s="1264" t="s">
        <v>1649</v>
      </c>
      <c r="H38" s="522"/>
      <c r="I38" s="1255">
        <v>107026.095503</v>
      </c>
      <c r="J38" s="1051">
        <v>66629.253142432484</v>
      </c>
      <c r="K38" s="1255">
        <f t="shared" si="7"/>
        <v>40396.84236056752</v>
      </c>
      <c r="L38" s="1256">
        <f t="shared" si="5"/>
        <v>0.62255147054827231</v>
      </c>
      <c r="M38" s="1251"/>
      <c r="N38" s="1252"/>
      <c r="O38" s="1253" t="s">
        <v>1077</v>
      </c>
      <c r="P38" s="1101"/>
      <c r="Q38" s="1098"/>
      <c r="R38" s="1098"/>
      <c r="S38" s="1098"/>
      <c r="T38" s="1098"/>
      <c r="U38" s="354"/>
    </row>
    <row r="39" spans="1:21" s="353" customFormat="1" ht="30" x14ac:dyDescent="0.2">
      <c r="A39" s="1263" t="s">
        <v>1078</v>
      </c>
      <c r="B39" s="1263" t="s">
        <v>1079</v>
      </c>
      <c r="C39" s="1255">
        <v>241503.51529499999</v>
      </c>
      <c r="D39" s="1051">
        <v>0</v>
      </c>
      <c r="E39" s="1255">
        <f t="shared" si="6"/>
        <v>241503.51529499999</v>
      </c>
      <c r="F39" s="1256">
        <f t="shared" si="4"/>
        <v>0</v>
      </c>
      <c r="G39" s="1264" t="s">
        <v>1651</v>
      </c>
      <c r="H39" s="522"/>
      <c r="I39" s="1255">
        <v>241503.51529499999</v>
      </c>
      <c r="J39" s="1051">
        <v>0</v>
      </c>
      <c r="K39" s="1255">
        <f t="shared" si="7"/>
        <v>241503.51529499999</v>
      </c>
      <c r="L39" s="1256">
        <f t="shared" si="5"/>
        <v>0</v>
      </c>
      <c r="M39" s="1251"/>
      <c r="N39" s="1252"/>
      <c r="O39" s="1253" t="s">
        <v>1080</v>
      </c>
      <c r="P39" s="1101"/>
      <c r="Q39" s="1098"/>
      <c r="R39" s="1098"/>
      <c r="S39" s="1098"/>
      <c r="T39" s="1098"/>
      <c r="U39" s="354"/>
    </row>
    <row r="40" spans="1:21" s="353" customFormat="1" ht="30" x14ac:dyDescent="0.2">
      <c r="A40" s="1263" t="s">
        <v>1081</v>
      </c>
      <c r="B40" s="1263" t="s">
        <v>1082</v>
      </c>
      <c r="C40" s="1255">
        <v>178128.92332259999</v>
      </c>
      <c r="D40" s="1051">
        <v>136865.41746467663</v>
      </c>
      <c r="E40" s="1255">
        <f t="shared" si="6"/>
        <v>41263.505857923359</v>
      </c>
      <c r="F40" s="1256">
        <f t="shared" si="4"/>
        <v>0.76835033251060991</v>
      </c>
      <c r="G40" s="1264" t="s">
        <v>1650</v>
      </c>
      <c r="H40" s="522"/>
      <c r="I40" s="1255">
        <v>178128.92332259999</v>
      </c>
      <c r="J40" s="1051">
        <v>136865.41746467663</v>
      </c>
      <c r="K40" s="1255">
        <f t="shared" si="7"/>
        <v>41263.505857923359</v>
      </c>
      <c r="L40" s="1256">
        <f t="shared" si="5"/>
        <v>0.76835033251060991</v>
      </c>
      <c r="M40" s="1251"/>
      <c r="N40" s="1252"/>
      <c r="O40" s="1253" t="s">
        <v>1083</v>
      </c>
      <c r="P40" s="1101"/>
      <c r="Q40" s="1098"/>
      <c r="R40" s="1098"/>
      <c r="S40" s="1098"/>
      <c r="T40" s="1098"/>
      <c r="U40" s="354"/>
    </row>
    <row r="41" spans="1:21" s="353" customFormat="1" ht="15" hidden="1" customHeight="1" x14ac:dyDescent="0.2">
      <c r="A41" s="1329"/>
      <c r="B41" s="1329"/>
      <c r="C41" s="1330"/>
      <c r="D41" s="1330"/>
      <c r="E41" s="1331"/>
      <c r="F41" s="1332"/>
      <c r="G41" s="1333"/>
      <c r="H41" s="984"/>
      <c r="I41" s="1330"/>
      <c r="J41" s="1330"/>
      <c r="K41" s="1331"/>
      <c r="L41" s="1332"/>
      <c r="M41" s="1251"/>
      <c r="N41" s="1252"/>
      <c r="O41" s="1253" t="s">
        <v>577</v>
      </c>
      <c r="P41" s="1253"/>
      <c r="Q41" s="1253" t="s">
        <v>356</v>
      </c>
      <c r="R41" s="1098"/>
      <c r="S41" s="1098"/>
      <c r="T41" s="1098"/>
      <c r="U41" s="354"/>
    </row>
    <row r="42" spans="1:21" s="353" customFormat="1" ht="21" hidden="1" customHeight="1" x14ac:dyDescent="0.2">
      <c r="A42" s="1334" t="s">
        <v>400</v>
      </c>
      <c r="B42" s="1334" t="s">
        <v>337</v>
      </c>
      <c r="C42" s="1255" t="s">
        <v>386</v>
      </c>
      <c r="D42" s="1051" t="s">
        <v>388</v>
      </c>
      <c r="E42" s="1255">
        <f>IFERROR(C42-D42,0)</f>
        <v>0</v>
      </c>
      <c r="F42" s="1255" t="e">
        <f>IF(AND(C42=0,D42=0),"N/A",IF(AND(C42=0,D42&lt;&gt;0),"Not Budgeted",D42/C42))</f>
        <v>#VALUE!</v>
      </c>
      <c r="G42" s="1264"/>
      <c r="H42" s="1255"/>
      <c r="I42" s="1255" t="s">
        <v>387</v>
      </c>
      <c r="J42" s="1051" t="s">
        <v>389</v>
      </c>
      <c r="K42" s="1255">
        <f>IFERROR(I42-J42,0)</f>
        <v>0</v>
      </c>
      <c r="L42" s="1255" t="e">
        <f>IF(AND(I42=0,J42=0),"N/A",IF(AND(I42=0,J42&lt;&gt;0),"Not Budgeted",J42/I42))</f>
        <v>#VALUE!</v>
      </c>
      <c r="M42" s="1251"/>
      <c r="N42" s="1252"/>
      <c r="O42" s="1253" t="str">
        <f>IFERROR(IF(VLOOKUP(A42,'Reference Records'!$B$12:$D$25,3,FALSE)=0,"",VLOOKUP(A42,'Reference Records'!$B$12:$D$25,3,FALSE)),"")</f>
        <v/>
      </c>
      <c r="P42" s="1253"/>
      <c r="Q42" s="1253" t="s">
        <v>355</v>
      </c>
      <c r="R42" s="1098"/>
      <c r="S42" s="1098"/>
      <c r="T42" s="1098"/>
      <c r="U42" s="354"/>
    </row>
    <row r="43" spans="1:21" s="353" customFormat="1" ht="21" hidden="1" customHeight="1" x14ac:dyDescent="0.2">
      <c r="A43" s="1334"/>
      <c r="B43" s="1334"/>
      <c r="C43" s="1255">
        <v>0</v>
      </c>
      <c r="D43" s="1051"/>
      <c r="E43" s="1255">
        <f t="shared" ref="E43:E57" si="8">IFERROR(C43-D43,0)</f>
        <v>0</v>
      </c>
      <c r="F43" s="1255" t="str">
        <f t="shared" ref="F43:F57" si="9">IF(AND(C43=0,D43=0),"N/A",IF(AND(C43=0,D43&lt;&gt;0),"Not Budgeted",D43/C43))</f>
        <v>N/A</v>
      </c>
      <c r="G43" s="1264"/>
      <c r="H43" s="1255"/>
      <c r="I43" s="1255">
        <v>0</v>
      </c>
      <c r="J43" s="1051"/>
      <c r="K43" s="1255">
        <f t="shared" ref="K43:K57" si="10">IFERROR(I43-J43,0)</f>
        <v>0</v>
      </c>
      <c r="L43" s="1255" t="str">
        <f t="shared" ref="L43:L57" si="11">IF(AND(I43=0,J43=0),"N/A",IF(AND(I43=0,J43&lt;&gt;0),"Not Budgeted",J43/I43))</f>
        <v>N/A</v>
      </c>
      <c r="M43" s="1251"/>
      <c r="N43" s="1252"/>
      <c r="O43" s="1253" t="str">
        <f>IFERROR(IF(VLOOKUP(A43,'Reference Records'!$B$12:$D$25,3,FALSE)=0,"",VLOOKUP(A43,'Reference Records'!$B$12:$D$25,3,FALSE)),"")</f>
        <v/>
      </c>
      <c r="P43" s="1253"/>
      <c r="Q43" s="1253" t="s">
        <v>1389</v>
      </c>
      <c r="R43" s="1098"/>
      <c r="S43" s="1098"/>
      <c r="T43" s="1098"/>
      <c r="U43" s="354"/>
    </row>
    <row r="44" spans="1:21" s="353" customFormat="1" ht="21" hidden="1" customHeight="1" x14ac:dyDescent="0.2">
      <c r="A44" s="1334"/>
      <c r="B44" s="1334"/>
      <c r="C44" s="1255">
        <v>0</v>
      </c>
      <c r="D44" s="1051"/>
      <c r="E44" s="1255">
        <f t="shared" si="8"/>
        <v>0</v>
      </c>
      <c r="F44" s="1255" t="str">
        <f t="shared" si="9"/>
        <v>N/A</v>
      </c>
      <c r="G44" s="1264"/>
      <c r="H44" s="1255"/>
      <c r="I44" s="1255">
        <v>0</v>
      </c>
      <c r="J44" s="1051"/>
      <c r="K44" s="1255">
        <f t="shared" si="10"/>
        <v>0</v>
      </c>
      <c r="L44" s="1255" t="str">
        <f t="shared" si="11"/>
        <v>N/A</v>
      </c>
      <c r="M44" s="1251"/>
      <c r="N44" s="1252"/>
      <c r="O44" s="1253" t="str">
        <f>IFERROR(IF(VLOOKUP(A44,'Reference Records'!$B$12:$D$25,3,FALSE)=0,"",VLOOKUP(A44,'Reference Records'!$B$12:$D$25,3,FALSE)),"")</f>
        <v/>
      </c>
      <c r="P44" s="1253"/>
      <c r="Q44" s="1253" t="s">
        <v>1390</v>
      </c>
      <c r="R44" s="1098"/>
      <c r="S44" s="1098"/>
      <c r="T44" s="1098"/>
      <c r="U44" s="354"/>
    </row>
    <row r="45" spans="1:21" s="353" customFormat="1" ht="21" hidden="1" customHeight="1" x14ac:dyDescent="0.2">
      <c r="A45" s="1334"/>
      <c r="B45" s="1334"/>
      <c r="C45" s="1255">
        <v>0</v>
      </c>
      <c r="D45" s="1051"/>
      <c r="E45" s="1255">
        <f t="shared" si="8"/>
        <v>0</v>
      </c>
      <c r="F45" s="1255" t="str">
        <f t="shared" si="9"/>
        <v>N/A</v>
      </c>
      <c r="G45" s="1264"/>
      <c r="H45" s="1255"/>
      <c r="I45" s="1255">
        <v>0</v>
      </c>
      <c r="J45" s="1051"/>
      <c r="K45" s="1255">
        <f t="shared" si="10"/>
        <v>0</v>
      </c>
      <c r="L45" s="1255" t="str">
        <f t="shared" si="11"/>
        <v>N/A</v>
      </c>
      <c r="M45" s="1251"/>
      <c r="N45" s="1252"/>
      <c r="O45" s="1253" t="str">
        <f>IFERROR(IF(VLOOKUP(A45,'Reference Records'!$B$12:$D$25,3,FALSE)=0,"",VLOOKUP(A45,'Reference Records'!$B$12:$D$25,3,FALSE)),"")</f>
        <v/>
      </c>
      <c r="P45" s="1253"/>
      <c r="Q45" s="1253" t="s">
        <v>1391</v>
      </c>
      <c r="R45" s="1098"/>
      <c r="S45" s="1098"/>
      <c r="T45" s="1098"/>
      <c r="U45" s="354"/>
    </row>
    <row r="46" spans="1:21" s="353" customFormat="1" ht="21" hidden="1" customHeight="1" x14ac:dyDescent="0.2">
      <c r="A46" s="1334"/>
      <c r="B46" s="1334"/>
      <c r="C46" s="1255">
        <v>0</v>
      </c>
      <c r="D46" s="1051"/>
      <c r="E46" s="1255">
        <f t="shared" si="8"/>
        <v>0</v>
      </c>
      <c r="F46" s="1255" t="str">
        <f t="shared" si="9"/>
        <v>N/A</v>
      </c>
      <c r="G46" s="1264"/>
      <c r="H46" s="1255"/>
      <c r="I46" s="1255">
        <v>0</v>
      </c>
      <c r="J46" s="1051"/>
      <c r="K46" s="1255">
        <f t="shared" si="10"/>
        <v>0</v>
      </c>
      <c r="L46" s="1255" t="str">
        <f t="shared" si="11"/>
        <v>N/A</v>
      </c>
      <c r="M46" s="1251"/>
      <c r="N46" s="1252"/>
      <c r="O46" s="1253" t="str">
        <f>IFERROR(IF(VLOOKUP(A46,'Reference Records'!$B$12:$D$25,3,FALSE)=0,"",VLOOKUP(A46,'Reference Records'!$B$12:$D$25,3,FALSE)),"")</f>
        <v/>
      </c>
      <c r="P46" s="1253"/>
      <c r="Q46" s="1253" t="s">
        <v>1392</v>
      </c>
      <c r="R46" s="1098"/>
      <c r="S46" s="1098"/>
      <c r="T46" s="1098"/>
      <c r="U46" s="354"/>
    </row>
    <row r="47" spans="1:21" s="353" customFormat="1" ht="21" hidden="1" customHeight="1" x14ac:dyDescent="0.2">
      <c r="A47" s="1334"/>
      <c r="B47" s="1334"/>
      <c r="C47" s="1255">
        <v>0</v>
      </c>
      <c r="D47" s="1051"/>
      <c r="E47" s="1255">
        <f t="shared" si="8"/>
        <v>0</v>
      </c>
      <c r="F47" s="1255" t="str">
        <f t="shared" si="9"/>
        <v>N/A</v>
      </c>
      <c r="G47" s="1264"/>
      <c r="H47" s="1255"/>
      <c r="I47" s="1255">
        <v>0</v>
      </c>
      <c r="J47" s="1051"/>
      <c r="K47" s="1255">
        <f t="shared" si="10"/>
        <v>0</v>
      </c>
      <c r="L47" s="1255" t="str">
        <f t="shared" si="11"/>
        <v>N/A</v>
      </c>
      <c r="M47" s="1251"/>
      <c r="N47" s="1252"/>
      <c r="O47" s="1253" t="str">
        <f>IFERROR(IF(VLOOKUP(A47,'Reference Records'!$B$12:$D$25,3,FALSE)=0,"",VLOOKUP(A47,'Reference Records'!$B$12:$D$25,3,FALSE)),"")</f>
        <v/>
      </c>
      <c r="P47" s="1253"/>
      <c r="Q47" s="1253" t="s">
        <v>1393</v>
      </c>
      <c r="R47" s="1098"/>
      <c r="S47" s="1098"/>
      <c r="T47" s="1098"/>
      <c r="U47" s="354"/>
    </row>
    <row r="48" spans="1:21" s="353" customFormat="1" ht="21" hidden="1" customHeight="1" x14ac:dyDescent="0.2">
      <c r="A48" s="1334"/>
      <c r="B48" s="1334"/>
      <c r="C48" s="1255">
        <v>0</v>
      </c>
      <c r="D48" s="1051"/>
      <c r="E48" s="1255">
        <f t="shared" si="8"/>
        <v>0</v>
      </c>
      <c r="F48" s="1255" t="str">
        <f t="shared" si="9"/>
        <v>N/A</v>
      </c>
      <c r="G48" s="1264"/>
      <c r="H48" s="1255"/>
      <c r="I48" s="1255">
        <v>0</v>
      </c>
      <c r="J48" s="1051"/>
      <c r="K48" s="1255">
        <f t="shared" si="10"/>
        <v>0</v>
      </c>
      <c r="L48" s="1255" t="str">
        <f t="shared" si="11"/>
        <v>N/A</v>
      </c>
      <c r="M48" s="1251"/>
      <c r="N48" s="1252"/>
      <c r="O48" s="1253" t="str">
        <f>IFERROR(IF(VLOOKUP(A48,'Reference Records'!$B$12:$D$25,3,FALSE)=0,"",VLOOKUP(A48,'Reference Records'!$B$12:$D$25,3,FALSE)),"")</f>
        <v/>
      </c>
      <c r="P48" s="1253"/>
      <c r="Q48" s="1253" t="s">
        <v>1394</v>
      </c>
      <c r="R48" s="1098"/>
      <c r="S48" s="1098"/>
      <c r="T48" s="1098"/>
      <c r="U48" s="354"/>
    </row>
    <row r="49" spans="1:31" s="353" customFormat="1" ht="21" hidden="1" customHeight="1" x14ac:dyDescent="0.2">
      <c r="A49" s="1334"/>
      <c r="B49" s="1334"/>
      <c r="C49" s="1255">
        <v>0</v>
      </c>
      <c r="D49" s="1051"/>
      <c r="E49" s="1255">
        <f t="shared" si="8"/>
        <v>0</v>
      </c>
      <c r="F49" s="1255" t="str">
        <f t="shared" si="9"/>
        <v>N/A</v>
      </c>
      <c r="G49" s="1264"/>
      <c r="H49" s="1255"/>
      <c r="I49" s="1255">
        <v>0</v>
      </c>
      <c r="J49" s="1051"/>
      <c r="K49" s="1255">
        <f t="shared" si="10"/>
        <v>0</v>
      </c>
      <c r="L49" s="1255" t="str">
        <f t="shared" si="11"/>
        <v>N/A</v>
      </c>
      <c r="M49" s="1251"/>
      <c r="N49" s="1252"/>
      <c r="O49" s="1253" t="str">
        <f>IFERROR(IF(VLOOKUP(A49,'Reference Records'!$B$12:$D$25,3,FALSE)=0,"",VLOOKUP(A49,'Reference Records'!$B$12:$D$25,3,FALSE)),"")</f>
        <v/>
      </c>
      <c r="P49" s="1253"/>
      <c r="Q49" s="1253" t="s">
        <v>1395</v>
      </c>
      <c r="R49" s="1098"/>
      <c r="S49" s="1098"/>
      <c r="T49" s="1098"/>
      <c r="U49" s="354"/>
    </row>
    <row r="50" spans="1:31" s="353" customFormat="1" ht="21" hidden="1" customHeight="1" x14ac:dyDescent="0.2">
      <c r="A50" s="1334"/>
      <c r="B50" s="1334"/>
      <c r="C50" s="1255">
        <v>0</v>
      </c>
      <c r="D50" s="1051"/>
      <c r="E50" s="1255">
        <f t="shared" si="8"/>
        <v>0</v>
      </c>
      <c r="F50" s="1255" t="str">
        <f t="shared" si="9"/>
        <v>N/A</v>
      </c>
      <c r="G50" s="1264"/>
      <c r="H50" s="1255"/>
      <c r="I50" s="1255">
        <v>0</v>
      </c>
      <c r="J50" s="1051"/>
      <c r="K50" s="1255">
        <f t="shared" si="10"/>
        <v>0</v>
      </c>
      <c r="L50" s="1255" t="str">
        <f t="shared" si="11"/>
        <v>N/A</v>
      </c>
      <c r="M50" s="1251"/>
      <c r="N50" s="1252"/>
      <c r="O50" s="1253" t="str">
        <f>IFERROR(IF(VLOOKUP(A50,'Reference Records'!$B$12:$D$25,3,FALSE)=0,"",VLOOKUP(A50,'Reference Records'!$B$12:$D$25,3,FALSE)),"")</f>
        <v/>
      </c>
      <c r="P50" s="1253"/>
      <c r="Q50" s="1253" t="s">
        <v>1396</v>
      </c>
      <c r="R50" s="1098"/>
      <c r="S50" s="1098"/>
      <c r="T50" s="1098"/>
      <c r="U50" s="354"/>
    </row>
    <row r="51" spans="1:31" s="353" customFormat="1" ht="21" hidden="1" customHeight="1" x14ac:dyDescent="0.2">
      <c r="A51" s="1334"/>
      <c r="B51" s="1334"/>
      <c r="C51" s="1255">
        <v>0</v>
      </c>
      <c r="D51" s="1051"/>
      <c r="E51" s="1255">
        <f t="shared" si="8"/>
        <v>0</v>
      </c>
      <c r="F51" s="1255" t="str">
        <f t="shared" si="9"/>
        <v>N/A</v>
      </c>
      <c r="G51" s="1264"/>
      <c r="H51" s="1255"/>
      <c r="I51" s="1255">
        <v>0</v>
      </c>
      <c r="J51" s="1051"/>
      <c r="K51" s="1255">
        <f t="shared" si="10"/>
        <v>0</v>
      </c>
      <c r="L51" s="1255" t="str">
        <f t="shared" si="11"/>
        <v>N/A</v>
      </c>
      <c r="M51" s="1251"/>
      <c r="N51" s="1252"/>
      <c r="O51" s="1253" t="str">
        <f>IFERROR(IF(VLOOKUP(A51,'Reference Records'!$B$12:$D$25,3,FALSE)=0,"",VLOOKUP(A51,'Reference Records'!$B$12:$D$25,3,FALSE)),"")</f>
        <v/>
      </c>
      <c r="P51" s="1253"/>
      <c r="Q51" s="1253" t="s">
        <v>1397</v>
      </c>
      <c r="R51" s="1098"/>
      <c r="S51" s="1098"/>
      <c r="T51" s="1098"/>
      <c r="U51" s="354"/>
    </row>
    <row r="52" spans="1:31" s="353" customFormat="1" ht="21" hidden="1" customHeight="1" x14ac:dyDescent="0.2">
      <c r="A52" s="1334"/>
      <c r="B52" s="1334"/>
      <c r="C52" s="1255">
        <v>0</v>
      </c>
      <c r="D52" s="1051"/>
      <c r="E52" s="1255">
        <f t="shared" si="8"/>
        <v>0</v>
      </c>
      <c r="F52" s="1255" t="str">
        <f t="shared" si="9"/>
        <v>N/A</v>
      </c>
      <c r="G52" s="1264"/>
      <c r="H52" s="1255"/>
      <c r="I52" s="1255">
        <v>0</v>
      </c>
      <c r="J52" s="1051"/>
      <c r="K52" s="1255">
        <f t="shared" si="10"/>
        <v>0</v>
      </c>
      <c r="L52" s="1255" t="str">
        <f t="shared" si="11"/>
        <v>N/A</v>
      </c>
      <c r="M52" s="1251"/>
      <c r="N52" s="1252"/>
      <c r="O52" s="1253" t="str">
        <f>IFERROR(IF(VLOOKUP(A52,'Reference Records'!$B$12:$D$25,3,FALSE)=0,"",VLOOKUP(A52,'Reference Records'!$B$12:$D$25,3,FALSE)),"")</f>
        <v/>
      </c>
      <c r="P52" s="1253"/>
      <c r="Q52" s="1253" t="s">
        <v>1398</v>
      </c>
      <c r="R52" s="1098"/>
      <c r="S52" s="1098"/>
      <c r="T52" s="1098"/>
      <c r="U52" s="354"/>
    </row>
    <row r="53" spans="1:31" s="353" customFormat="1" ht="21" hidden="1" customHeight="1" x14ac:dyDescent="0.2">
      <c r="A53" s="1334"/>
      <c r="B53" s="1334"/>
      <c r="C53" s="1255">
        <v>0</v>
      </c>
      <c r="D53" s="1051"/>
      <c r="E53" s="1255">
        <f t="shared" si="8"/>
        <v>0</v>
      </c>
      <c r="F53" s="1255" t="str">
        <f t="shared" si="9"/>
        <v>N/A</v>
      </c>
      <c r="G53" s="1264"/>
      <c r="H53" s="1255"/>
      <c r="I53" s="1255">
        <v>0</v>
      </c>
      <c r="J53" s="1051"/>
      <c r="K53" s="1255">
        <f t="shared" si="10"/>
        <v>0</v>
      </c>
      <c r="L53" s="1255" t="str">
        <f t="shared" si="11"/>
        <v>N/A</v>
      </c>
      <c r="M53" s="1251"/>
      <c r="N53" s="1252"/>
      <c r="O53" s="1253" t="str">
        <f>IFERROR(IF(VLOOKUP(A53,'Reference Records'!$B$12:$D$25,3,FALSE)=0,"",VLOOKUP(A53,'Reference Records'!$B$12:$D$25,3,FALSE)),"")</f>
        <v/>
      </c>
      <c r="P53" s="1253"/>
      <c r="Q53" s="1253" t="s">
        <v>1399</v>
      </c>
      <c r="R53" s="1098"/>
      <c r="S53" s="1098"/>
      <c r="T53" s="1098"/>
      <c r="U53" s="354"/>
    </row>
    <row r="54" spans="1:31" s="353" customFormat="1" ht="21" hidden="1" customHeight="1" x14ac:dyDescent="0.2">
      <c r="A54" s="1334"/>
      <c r="B54" s="1334"/>
      <c r="C54" s="1255">
        <v>0</v>
      </c>
      <c r="D54" s="1051"/>
      <c r="E54" s="1255">
        <f t="shared" si="8"/>
        <v>0</v>
      </c>
      <c r="F54" s="1255" t="str">
        <f t="shared" si="9"/>
        <v>N/A</v>
      </c>
      <c r="G54" s="1264"/>
      <c r="H54" s="1255"/>
      <c r="I54" s="1255">
        <v>0</v>
      </c>
      <c r="J54" s="1051"/>
      <c r="K54" s="1255">
        <f t="shared" si="10"/>
        <v>0</v>
      </c>
      <c r="L54" s="1255" t="str">
        <f t="shared" si="11"/>
        <v>N/A</v>
      </c>
      <c r="M54" s="1251"/>
      <c r="N54" s="1252"/>
      <c r="O54" s="1253" t="str">
        <f>IFERROR(IF(VLOOKUP(A54,'Reference Records'!$B$12:$D$25,3,FALSE)=0,"",VLOOKUP(A54,'Reference Records'!$B$12:$D$25,3,FALSE)),"")</f>
        <v/>
      </c>
      <c r="P54" s="1253"/>
      <c r="Q54" s="1253" t="s">
        <v>1400</v>
      </c>
      <c r="R54" s="1098"/>
      <c r="S54" s="1098"/>
      <c r="T54" s="1098"/>
      <c r="U54" s="354"/>
    </row>
    <row r="55" spans="1:31" s="353" customFormat="1" ht="21" hidden="1" customHeight="1" x14ac:dyDescent="0.2">
      <c r="A55" s="1334"/>
      <c r="B55" s="1334"/>
      <c r="C55" s="1255">
        <v>0</v>
      </c>
      <c r="D55" s="1051"/>
      <c r="E55" s="1255">
        <f t="shared" si="8"/>
        <v>0</v>
      </c>
      <c r="F55" s="1255" t="str">
        <f t="shared" si="9"/>
        <v>N/A</v>
      </c>
      <c r="G55" s="1264"/>
      <c r="H55" s="1255"/>
      <c r="I55" s="1255">
        <v>0</v>
      </c>
      <c r="J55" s="1051"/>
      <c r="K55" s="1255">
        <f t="shared" si="10"/>
        <v>0</v>
      </c>
      <c r="L55" s="1255" t="str">
        <f t="shared" si="11"/>
        <v>N/A</v>
      </c>
      <c r="M55" s="1251"/>
      <c r="N55" s="1252"/>
      <c r="O55" s="1253" t="str">
        <f>IFERROR(IF(VLOOKUP(A55,'Reference Records'!$B$12:$D$25,3,FALSE)=0,"",VLOOKUP(A55,'Reference Records'!$B$12:$D$25,3,FALSE)),"")</f>
        <v/>
      </c>
      <c r="P55" s="1253"/>
      <c r="Q55" s="1253" t="s">
        <v>1401</v>
      </c>
      <c r="R55" s="1098"/>
      <c r="S55" s="1098"/>
      <c r="T55" s="1098"/>
      <c r="U55" s="354"/>
    </row>
    <row r="56" spans="1:31" s="353" customFormat="1" ht="21" hidden="1" customHeight="1" x14ac:dyDescent="0.2">
      <c r="A56" s="1334"/>
      <c r="B56" s="1334"/>
      <c r="C56" s="1255">
        <v>0</v>
      </c>
      <c r="D56" s="1051"/>
      <c r="E56" s="1255">
        <f t="shared" si="8"/>
        <v>0</v>
      </c>
      <c r="F56" s="1255" t="str">
        <f t="shared" si="9"/>
        <v>N/A</v>
      </c>
      <c r="G56" s="1264"/>
      <c r="H56" s="1255"/>
      <c r="I56" s="1255">
        <v>0</v>
      </c>
      <c r="J56" s="1051"/>
      <c r="K56" s="1255">
        <f t="shared" si="10"/>
        <v>0</v>
      </c>
      <c r="L56" s="1255" t="str">
        <f t="shared" si="11"/>
        <v>N/A</v>
      </c>
      <c r="M56" s="1251"/>
      <c r="N56" s="1252"/>
      <c r="O56" s="1253" t="str">
        <f>IFERROR(IF(VLOOKUP(A56,'Reference Records'!$B$12:$D$25,3,FALSE)=0,"",VLOOKUP(A56,'Reference Records'!$B$12:$D$25,3,FALSE)),"")</f>
        <v/>
      </c>
      <c r="P56" s="1253"/>
      <c r="Q56" s="1253" t="s">
        <v>1402</v>
      </c>
      <c r="R56" s="1098"/>
      <c r="S56" s="1098"/>
      <c r="T56" s="1098"/>
      <c r="U56" s="354"/>
    </row>
    <row r="57" spans="1:31" s="353" customFormat="1" ht="21" hidden="1" customHeight="1" x14ac:dyDescent="0.2">
      <c r="A57" s="1334"/>
      <c r="B57" s="1334"/>
      <c r="C57" s="1255">
        <v>0</v>
      </c>
      <c r="D57" s="1051"/>
      <c r="E57" s="1255">
        <f t="shared" si="8"/>
        <v>0</v>
      </c>
      <c r="F57" s="1255" t="str">
        <f t="shared" si="9"/>
        <v>N/A</v>
      </c>
      <c r="G57" s="1264"/>
      <c r="H57" s="1255"/>
      <c r="I57" s="1255">
        <v>0</v>
      </c>
      <c r="J57" s="1051"/>
      <c r="K57" s="1255">
        <f t="shared" si="10"/>
        <v>0</v>
      </c>
      <c r="L57" s="1255" t="str">
        <f t="shared" si="11"/>
        <v>N/A</v>
      </c>
      <c r="M57" s="1251"/>
      <c r="N57" s="1252"/>
      <c r="O57" s="1253" t="str">
        <f>IFERROR(IF(VLOOKUP(A57,'Reference Records'!$B$12:$D$25,3,FALSE)=0,"",VLOOKUP(A57,'Reference Records'!$B$12:$D$25,3,FALSE)),"")</f>
        <v/>
      </c>
      <c r="P57" s="1253"/>
      <c r="Q57" s="1253" t="s">
        <v>1403</v>
      </c>
      <c r="R57" s="1098"/>
      <c r="S57" s="1098"/>
      <c r="T57" s="1098"/>
      <c r="U57" s="354"/>
    </row>
    <row r="58" spans="1:31" hidden="1" x14ac:dyDescent="0.2">
      <c r="N58" s="995"/>
      <c r="O58" s="989"/>
      <c r="P58" s="989"/>
      <c r="Q58" s="989"/>
      <c r="R58" s="989"/>
      <c r="S58" s="989"/>
      <c r="T58" s="989"/>
      <c r="U58" s="352"/>
    </row>
    <row r="59" spans="1:31" s="353" customFormat="1" ht="26.25" customHeight="1" thickBot="1" x14ac:dyDescent="0.25">
      <c r="A59" s="1692" t="s">
        <v>86</v>
      </c>
      <c r="B59" s="1693"/>
      <c r="C59" s="972">
        <f>ROUND(SUM(C32:C58),2)</f>
        <v>5689012.5099999998</v>
      </c>
      <c r="D59" s="972">
        <f>ROUND(SUM(D32:D58),2)</f>
        <v>3017112.37</v>
      </c>
      <c r="E59" s="972">
        <f>ROUND(SUM(E32:E58),2)</f>
        <v>2671900.15</v>
      </c>
      <c r="F59" s="999">
        <f>D59/C59</f>
        <v>0.5303402593502119</v>
      </c>
      <c r="G59" s="972"/>
      <c r="H59" s="972"/>
      <c r="I59" s="972">
        <f>ROUND(SUM(I32:I58),2)</f>
        <v>5689012.5099999998</v>
      </c>
      <c r="J59" s="972">
        <f>ROUND(SUM(J32:J58),2)</f>
        <v>3032543.27</v>
      </c>
      <c r="K59" s="972">
        <f>ROUND(SUM(K32:K58),2)</f>
        <v>2656469.2400000002</v>
      </c>
      <c r="L59" s="973">
        <f>J59/I59</f>
        <v>0.53305266329955747</v>
      </c>
      <c r="M59" s="601"/>
      <c r="N59" s="994"/>
      <c r="O59" s="1101"/>
      <c r="P59" s="1101"/>
      <c r="Q59" s="1098"/>
      <c r="R59" s="1098"/>
      <c r="S59" s="1098"/>
      <c r="T59" s="1098"/>
      <c r="U59" s="354"/>
    </row>
    <row r="60" spans="1:31" x14ac:dyDescent="0.2">
      <c r="N60" s="995"/>
      <c r="O60" s="989"/>
      <c r="P60" s="989"/>
      <c r="Q60" s="989"/>
      <c r="R60" s="989"/>
      <c r="S60" s="989"/>
      <c r="T60" s="989"/>
      <c r="U60" s="352"/>
    </row>
    <row r="61" spans="1:31" s="353" customFormat="1" ht="15.75" thickBot="1" x14ac:dyDescent="0.25">
      <c r="A61" s="109" t="s">
        <v>268</v>
      </c>
      <c r="B61" s="112"/>
      <c r="C61" s="112"/>
      <c r="D61" s="109"/>
      <c r="E61" s="112"/>
      <c r="F61" s="112"/>
      <c r="G61" s="112"/>
      <c r="H61" s="112"/>
      <c r="I61" s="112"/>
      <c r="J61" s="112"/>
      <c r="K61" s="112"/>
      <c r="L61" s="112"/>
      <c r="N61" s="990"/>
      <c r="O61" s="1098"/>
      <c r="P61" s="1098"/>
      <c r="Q61" s="1098"/>
      <c r="R61" s="1098"/>
      <c r="S61" s="1098"/>
      <c r="T61" s="1098"/>
      <c r="U61" s="354"/>
    </row>
    <row r="62" spans="1:31" s="353" customFormat="1" ht="18.75" customHeight="1" x14ac:dyDescent="0.2">
      <c r="A62" s="597"/>
      <c r="B62" s="602"/>
      <c r="C62" s="602"/>
      <c r="D62" s="602"/>
      <c r="E62" s="602"/>
      <c r="F62" s="602"/>
      <c r="G62" s="598"/>
      <c r="H62" s="599"/>
      <c r="I62" s="602"/>
      <c r="J62" s="602"/>
      <c r="K62" s="602"/>
      <c r="L62" s="599"/>
      <c r="M62" s="599"/>
      <c r="N62" s="991"/>
      <c r="O62" s="1101"/>
      <c r="P62" s="1101"/>
      <c r="Q62" s="1098"/>
      <c r="R62" s="1098"/>
      <c r="S62" s="1098"/>
      <c r="T62" s="1098"/>
      <c r="U62" s="354"/>
      <c r="AA62" s="564"/>
      <c r="AB62" s="564"/>
    </row>
    <row r="63" spans="1:31" s="356" customFormat="1" ht="74.45" customHeight="1" x14ac:dyDescent="0.2">
      <c r="A63" s="1259" t="s">
        <v>402</v>
      </c>
      <c r="B63" s="1259" t="s">
        <v>401</v>
      </c>
      <c r="C63" s="1250" t="s">
        <v>40</v>
      </c>
      <c r="D63" s="1250" t="s">
        <v>134</v>
      </c>
      <c r="E63" s="1250" t="s">
        <v>83</v>
      </c>
      <c r="F63" s="1250" t="s">
        <v>614</v>
      </c>
      <c r="G63" s="1250" t="s">
        <v>85</v>
      </c>
      <c r="H63" s="522"/>
      <c r="I63" s="1250" t="s">
        <v>22</v>
      </c>
      <c r="J63" s="1250" t="s">
        <v>137</v>
      </c>
      <c r="K63" s="1250" t="s">
        <v>138</v>
      </c>
      <c r="L63" s="1250" t="s">
        <v>614</v>
      </c>
      <c r="M63" s="1260"/>
      <c r="N63" s="1261"/>
      <c r="O63" s="1262" t="s">
        <v>356</v>
      </c>
      <c r="P63" s="1102" t="e">
        <v>#N/A</v>
      </c>
      <c r="Q63" s="1103"/>
      <c r="R63" s="1103"/>
      <c r="S63" s="1103"/>
      <c r="T63" s="1103"/>
      <c r="U63" s="1104"/>
      <c r="AA63" s="565"/>
      <c r="AB63" s="565"/>
    </row>
    <row r="64" spans="1:31" s="353" customFormat="1" hidden="1" x14ac:dyDescent="0.2">
      <c r="A64" s="1263" t="s">
        <v>415</v>
      </c>
      <c r="B64" s="1263" t="s">
        <v>408</v>
      </c>
      <c r="C64" s="1255" t="s">
        <v>386</v>
      </c>
      <c r="D64" s="1051" t="s">
        <v>388</v>
      </c>
      <c r="E64" s="1255">
        <f>IFERROR(C64-D64,0)</f>
        <v>0</v>
      </c>
      <c r="F64" s="1256" t="e">
        <f>IF(AND(C64=0,D64=0),"N/A",IF(AND(C64=0,D64&lt;&gt;0),"Not Budgeted",D64/C64))</f>
        <v>#VALUE!</v>
      </c>
      <c r="G64" s="1264"/>
      <c r="H64" s="522"/>
      <c r="I64" s="1255" t="s">
        <v>387</v>
      </c>
      <c r="J64" s="1051" t="s">
        <v>389</v>
      </c>
      <c r="K64" s="1255">
        <f>IFERROR(I64-J64,0)</f>
        <v>0</v>
      </c>
      <c r="L64" s="1256" t="e">
        <f>IF(AND(I64=0,J64=0),"N/A",IF(AND(I64=0,J64&lt;&gt;0),"Not Budgeted",J64/I64))</f>
        <v>#VALUE!</v>
      </c>
      <c r="M64" s="1251"/>
      <c r="N64" s="1252"/>
      <c r="O64" s="1253" t="s">
        <v>355</v>
      </c>
      <c r="P64" s="1101"/>
      <c r="Q64" s="1098"/>
      <c r="R64" s="1098"/>
      <c r="S64" s="1098"/>
      <c r="T64" s="1098"/>
      <c r="U64" s="354"/>
      <c r="AA64" s="608"/>
      <c r="AB64" s="609" t="s">
        <v>266</v>
      </c>
      <c r="AC64" s="354"/>
      <c r="AD64" s="354"/>
      <c r="AE64" s="354"/>
    </row>
    <row r="65" spans="1:31" s="353" customFormat="1" ht="144.75" customHeight="1" x14ac:dyDescent="0.2">
      <c r="A65" s="1263" t="s">
        <v>1084</v>
      </c>
      <c r="B65" s="1263" t="s">
        <v>1085</v>
      </c>
      <c r="C65" s="1255">
        <v>4214000.3436930003</v>
      </c>
      <c r="D65" s="1051">
        <v>1755401.4072518111</v>
      </c>
      <c r="E65" s="1255">
        <f>IFERROR(C65-D65,0)</f>
        <v>2458598.9364411891</v>
      </c>
      <c r="F65" s="1256">
        <f>IF(AND(C65=0,D65=0),"N/A",IF(AND(C65=0,D65&lt;&gt;0),"Not Budgeted",D65/C65))</f>
        <v>0.41656413480817128</v>
      </c>
      <c r="G65" s="1264" t="s">
        <v>1652</v>
      </c>
      <c r="H65" s="522"/>
      <c r="I65" s="1255">
        <v>4214000.3436930003</v>
      </c>
      <c r="J65" s="1051">
        <v>1755401.4072518111</v>
      </c>
      <c r="K65" s="1255">
        <f>IFERROR(I65-J65,0)</f>
        <v>2458598.9364411891</v>
      </c>
      <c r="L65" s="1256">
        <f>IF(AND(I65=0,J65=0),"N/A",IF(AND(I65=0,J65&lt;&gt;0),"Not Budgeted",J65/I65))</f>
        <v>0.41656413480817128</v>
      </c>
      <c r="M65" s="1251"/>
      <c r="N65" s="1252"/>
      <c r="O65" s="1253" t="s">
        <v>1086</v>
      </c>
      <c r="P65" s="1101"/>
      <c r="Q65" s="1098"/>
      <c r="R65" s="1098"/>
      <c r="S65" s="1098"/>
      <c r="T65" s="1098"/>
      <c r="U65" s="354"/>
      <c r="AA65" s="608"/>
      <c r="AB65" s="609"/>
      <c r="AC65" s="354"/>
      <c r="AD65" s="354"/>
      <c r="AE65" s="354"/>
    </row>
    <row r="66" spans="1:31" s="353" customFormat="1" ht="132.75" customHeight="1" x14ac:dyDescent="0.2">
      <c r="A66" s="1263" t="s">
        <v>1087</v>
      </c>
      <c r="B66" s="1263" t="s">
        <v>1085</v>
      </c>
      <c r="C66" s="1255">
        <v>612047.97436840006</v>
      </c>
      <c r="D66" s="1051">
        <v>407698.95953275333</v>
      </c>
      <c r="E66" s="1255">
        <f>IFERROR(C66-D66,0)</f>
        <v>204349.01483564673</v>
      </c>
      <c r="F66" s="1256">
        <f>IF(AND(C66=0,D66=0),"N/A",IF(AND(C66=0,D66&lt;&gt;0),"Not Budgeted",D66/C66))</f>
        <v>0.66612255347054505</v>
      </c>
      <c r="G66" s="1264" t="s">
        <v>1653</v>
      </c>
      <c r="H66" s="522"/>
      <c r="I66" s="1255">
        <v>612047.97436840006</v>
      </c>
      <c r="J66" s="1051">
        <v>423129.86764169554</v>
      </c>
      <c r="K66" s="1255">
        <f>IFERROR(I66-J66,0)</f>
        <v>188918.10672670451</v>
      </c>
      <c r="L66" s="1256">
        <f>IF(AND(I66=0,J66=0),"N/A",IF(AND(I66=0,J66&lt;&gt;0),"Not Budgeted",J66/I66))</f>
        <v>0.69133447925931357</v>
      </c>
      <c r="M66" s="1251"/>
      <c r="N66" s="1252"/>
      <c r="O66" s="1253" t="s">
        <v>1088</v>
      </c>
      <c r="P66" s="1101"/>
      <c r="Q66" s="1098"/>
      <c r="R66" s="1098"/>
      <c r="S66" s="1098"/>
      <c r="T66" s="1098"/>
      <c r="U66" s="354"/>
      <c r="AA66" s="608"/>
      <c r="AB66" s="609"/>
      <c r="AC66" s="354"/>
      <c r="AD66" s="354"/>
      <c r="AE66" s="354"/>
    </row>
    <row r="67" spans="1:31" s="353" customFormat="1" x14ac:dyDescent="0.2">
      <c r="A67" s="1263" t="s">
        <v>1089</v>
      </c>
      <c r="B67" s="1263" t="s">
        <v>1090</v>
      </c>
      <c r="C67" s="1255">
        <v>862964.19672000001</v>
      </c>
      <c r="D67" s="1051">
        <v>854012</v>
      </c>
      <c r="E67" s="1255">
        <f>IFERROR(C67-D67,0)</f>
        <v>8952.1967200000072</v>
      </c>
      <c r="F67" s="1256">
        <f>IF(AND(C67=0,D67=0),"N/A",IF(AND(C67=0,D67&lt;&gt;0),"Not Budgeted",D67/C67))</f>
        <v>0.98962622464057493</v>
      </c>
      <c r="G67" s="1264"/>
      <c r="H67" s="522"/>
      <c r="I67" s="1255">
        <v>862964.19672000001</v>
      </c>
      <c r="J67" s="1051">
        <v>854012</v>
      </c>
      <c r="K67" s="1255">
        <f>IFERROR(I67-J67,0)</f>
        <v>8952.1967200000072</v>
      </c>
      <c r="L67" s="1256">
        <f>IF(AND(I67=0,J67=0),"N/A",IF(AND(I67=0,J67&lt;&gt;0),"Not Budgeted",J67/I67))</f>
        <v>0.98962622464057493</v>
      </c>
      <c r="M67" s="1251"/>
      <c r="N67" s="1252"/>
      <c r="O67" s="1253" t="s">
        <v>1091</v>
      </c>
      <c r="P67" s="1101"/>
      <c r="Q67" s="1098"/>
      <c r="R67" s="1098"/>
      <c r="S67" s="1098"/>
      <c r="T67" s="1098"/>
      <c r="U67" s="354"/>
      <c r="AA67" s="608"/>
      <c r="AB67" s="609"/>
      <c r="AC67" s="354"/>
      <c r="AD67" s="354"/>
      <c r="AE67" s="354"/>
    </row>
    <row r="68" spans="1:31" s="353" customFormat="1" ht="15" hidden="1" customHeight="1" x14ac:dyDescent="0.2">
      <c r="A68" s="604"/>
      <c r="B68" s="581"/>
      <c r="C68" s="575"/>
      <c r="D68" s="575"/>
      <c r="E68" s="576"/>
      <c r="F68" s="577"/>
      <c r="G68" s="928"/>
      <c r="H68" s="580"/>
      <c r="I68" s="575"/>
      <c r="J68" s="575"/>
      <c r="K68" s="576"/>
      <c r="L68" s="577"/>
      <c r="M68" s="600"/>
      <c r="N68" s="992"/>
      <c r="O68" s="1101"/>
      <c r="P68" s="1101"/>
      <c r="Q68" s="1098"/>
      <c r="R68" s="1098"/>
      <c r="S68" s="1098"/>
      <c r="T68" s="1098"/>
      <c r="U68" s="354"/>
      <c r="AA68" s="608"/>
      <c r="AB68" s="609"/>
      <c r="AC68" s="354"/>
      <c r="AD68" s="354"/>
      <c r="AE68" s="354"/>
    </row>
    <row r="69" spans="1:31" s="353" customFormat="1" ht="27.6" customHeight="1" x14ac:dyDescent="0.2">
      <c r="A69" s="1690" t="s">
        <v>86</v>
      </c>
      <c r="B69" s="1691"/>
      <c r="C69" s="578">
        <f>ROUND(SUM(C64:C68),2)</f>
        <v>5689012.5099999998</v>
      </c>
      <c r="D69" s="578">
        <f>ROUND(SUM(D64:D68),2)</f>
        <v>3017112.37</v>
      </c>
      <c r="E69" s="578">
        <f>ROUND(SUM(E64:E68),2)</f>
        <v>2671900.15</v>
      </c>
      <c r="F69" s="579">
        <f>D69/C69</f>
        <v>0.5303402593502119</v>
      </c>
      <c r="G69" s="579"/>
      <c r="H69" s="580"/>
      <c r="I69" s="578">
        <f>ROUND(SUM(I64:I68),2)</f>
        <v>5689012.5099999998</v>
      </c>
      <c r="J69" s="578">
        <f>ROUND(SUM(J64:J68),2)</f>
        <v>3032543.27</v>
      </c>
      <c r="K69" s="578">
        <f>ROUND(SUM(K64:K68),2)</f>
        <v>2656469.2400000002</v>
      </c>
      <c r="L69" s="579">
        <f>J69/I69</f>
        <v>0.53305266329955747</v>
      </c>
      <c r="M69" s="600"/>
      <c r="N69" s="992"/>
      <c r="O69" s="1101"/>
      <c r="P69" s="1101"/>
      <c r="Q69" s="1098"/>
      <c r="R69" s="1098"/>
      <c r="S69" s="1098"/>
      <c r="T69" s="1098"/>
      <c r="U69" s="354"/>
      <c r="AA69" s="564"/>
      <c r="AB69" s="564"/>
    </row>
    <row r="70" spans="1:31" s="353" customFormat="1" ht="1.35" customHeight="1" thickBot="1" x14ac:dyDescent="0.25">
      <c r="A70" s="605"/>
      <c r="B70" s="606"/>
      <c r="C70" s="606"/>
      <c r="D70" s="606"/>
      <c r="E70" s="606"/>
      <c r="F70" s="606"/>
      <c r="G70" s="606"/>
      <c r="H70" s="601"/>
      <c r="I70" s="606"/>
      <c r="J70" s="606"/>
      <c r="K70" s="606"/>
      <c r="L70" s="606"/>
      <c r="M70" s="601"/>
      <c r="N70" s="994"/>
      <c r="O70" s="1101"/>
      <c r="P70" s="1101"/>
      <c r="Q70" s="1098"/>
      <c r="R70" s="1098"/>
      <c r="S70" s="1098"/>
      <c r="T70" s="1098"/>
      <c r="U70" s="354"/>
      <c r="AA70" s="564"/>
      <c r="AB70" s="564"/>
    </row>
    <row r="71" spans="1:31" s="353" customFormat="1" x14ac:dyDescent="0.2">
      <c r="N71" s="990"/>
      <c r="O71" s="1098"/>
      <c r="P71" s="1098"/>
      <c r="Q71" s="1098"/>
      <c r="R71" s="1098"/>
      <c r="S71" s="1098"/>
      <c r="T71" s="1098"/>
      <c r="U71" s="354"/>
      <c r="AA71" s="564"/>
      <c r="AB71" s="564"/>
    </row>
    <row r="72" spans="1:31" s="353" customFormat="1" ht="66.599999999999994" customHeight="1" x14ac:dyDescent="0.2">
      <c r="A72" s="934" t="s">
        <v>89</v>
      </c>
      <c r="C72" s="938" t="str">
        <f>IF(AND(ROUND(C27,0)=ROUND(C59,0),ROUND(C59,0)=ROUND(C69,0)),"OK","WARNING - Sum of the three tables not matching")</f>
        <v>OK</v>
      </c>
      <c r="D72" s="938" t="str">
        <f>IF(AND(ROUND(D27,0)=ROUND(D59,0),ROUND(D59,0)=ROUND(D69,0)),"OK","WARNING - Sum of the three tables not matching")</f>
        <v>OK</v>
      </c>
      <c r="E72" s="939"/>
      <c r="F72" s="939"/>
      <c r="G72" s="939"/>
      <c r="H72" s="940"/>
      <c r="I72" s="938" t="str">
        <f>IF(AND(ROUND(I27,0)=ROUND(I59,0),ROUND(I59,0)=ROUND(I69,0)),"OK","WARNING - Sum of the three tables not matching")</f>
        <v>OK</v>
      </c>
      <c r="J72" s="938" t="str">
        <f>IF(AND(ROUND(J27,0)=ROUND(J59,0),ROUND(J59,0)=ROUND(J69,0)),"OK","WARNING - Sum of the three tables not matching")</f>
        <v>OK</v>
      </c>
      <c r="K72" s="354"/>
      <c r="L72" s="354"/>
      <c r="N72" s="990"/>
      <c r="O72" s="1098"/>
      <c r="P72" s="1098"/>
      <c r="Q72" s="1098"/>
      <c r="R72" s="1098"/>
      <c r="S72" s="1098"/>
      <c r="T72" s="1098"/>
      <c r="U72" s="354"/>
      <c r="AA72" s="564"/>
      <c r="AB72" s="564"/>
    </row>
    <row r="73" spans="1:31" s="353" customFormat="1" x14ac:dyDescent="0.2">
      <c r="A73" s="354"/>
      <c r="B73" s="354"/>
      <c r="C73" s="354"/>
      <c r="D73" s="354"/>
      <c r="E73" s="354"/>
      <c r="F73" s="354"/>
      <c r="G73" s="354"/>
      <c r="I73" s="354"/>
      <c r="J73" s="354"/>
      <c r="K73" s="354"/>
      <c r="O73" s="564"/>
      <c r="AA73" s="564"/>
      <c r="AB73" s="564"/>
    </row>
    <row r="74" spans="1:31" s="353" customFormat="1" x14ac:dyDescent="0.2">
      <c r="A74" s="354"/>
      <c r="B74" s="354"/>
      <c r="C74" s="354"/>
      <c r="D74" s="354"/>
      <c r="E74" s="354"/>
      <c r="F74" s="354"/>
      <c r="G74" s="354"/>
      <c r="I74" s="354"/>
      <c r="J74" s="354"/>
      <c r="K74" s="354"/>
      <c r="O74" s="564"/>
      <c r="AA74" s="564"/>
      <c r="AB74" s="564"/>
    </row>
    <row r="75" spans="1:31" s="353" customFormat="1" x14ac:dyDescent="0.2">
      <c r="A75" s="354"/>
      <c r="B75" s="354"/>
      <c r="C75" s="354"/>
      <c r="D75" s="354"/>
      <c r="E75" s="354"/>
      <c r="F75" s="354"/>
      <c r="G75" s="354"/>
      <c r="I75" s="354"/>
      <c r="J75" s="354"/>
      <c r="K75" s="354"/>
      <c r="O75" s="564"/>
      <c r="AA75" s="564"/>
      <c r="AB75" s="564"/>
    </row>
    <row r="76" spans="1:31" s="353" customFormat="1" x14ac:dyDescent="0.2">
      <c r="A76" s="354"/>
      <c r="B76" s="354"/>
      <c r="C76" s="354"/>
      <c r="D76" s="354"/>
      <c r="E76" s="354"/>
      <c r="F76" s="354"/>
      <c r="G76" s="354"/>
      <c r="I76" s="354"/>
      <c r="J76" s="354"/>
      <c r="K76" s="354"/>
      <c r="O76" s="564"/>
      <c r="AA76" s="564"/>
      <c r="AB76" s="564"/>
    </row>
    <row r="77" spans="1:31" s="353" customFormat="1" x14ac:dyDescent="0.2">
      <c r="A77" s="354"/>
      <c r="B77" s="354"/>
      <c r="C77" s="354"/>
      <c r="D77" s="354"/>
      <c r="E77" s="354"/>
      <c r="F77" s="354"/>
      <c r="G77" s="354"/>
      <c r="I77" s="354"/>
      <c r="J77" s="354"/>
      <c r="K77" s="354"/>
      <c r="O77" s="564"/>
      <c r="AA77" s="564"/>
      <c r="AB77" s="564"/>
    </row>
    <row r="78" spans="1:31" s="353" customFormat="1" x14ac:dyDescent="0.2">
      <c r="A78" s="354"/>
      <c r="B78" s="354"/>
      <c r="C78" s="354"/>
      <c r="D78" s="354"/>
      <c r="E78" s="354"/>
      <c r="F78" s="354"/>
      <c r="G78" s="354"/>
      <c r="I78" s="354"/>
      <c r="J78" s="354"/>
      <c r="K78" s="354"/>
      <c r="O78" s="564"/>
      <c r="AA78" s="564"/>
      <c r="AB78" s="564"/>
    </row>
    <row r="79" spans="1:31" s="353" customFormat="1" x14ac:dyDescent="0.2">
      <c r="A79" s="354"/>
      <c r="B79" s="354"/>
      <c r="C79" s="354"/>
      <c r="D79" s="354"/>
      <c r="E79" s="354"/>
      <c r="F79" s="354"/>
      <c r="G79" s="354"/>
      <c r="I79" s="354"/>
      <c r="J79" s="354"/>
      <c r="K79" s="354"/>
      <c r="O79" s="564"/>
      <c r="AA79" s="564"/>
      <c r="AB79" s="564"/>
    </row>
    <row r="80" spans="1:31" s="353" customFormat="1" x14ac:dyDescent="0.2">
      <c r="A80" s="354"/>
      <c r="B80" s="354"/>
      <c r="C80" s="354"/>
      <c r="D80" s="354"/>
      <c r="E80" s="354"/>
      <c r="F80" s="354"/>
      <c r="G80" s="354"/>
      <c r="I80" s="354"/>
      <c r="J80" s="354"/>
      <c r="K80" s="354"/>
      <c r="O80" s="564"/>
      <c r="AA80" s="564"/>
      <c r="AB80" s="564"/>
    </row>
    <row r="81" spans="1:28" s="353" customFormat="1" x14ac:dyDescent="0.2">
      <c r="A81" s="354"/>
      <c r="B81" s="354"/>
      <c r="C81" s="354"/>
      <c r="D81" s="354"/>
      <c r="E81" s="354"/>
      <c r="F81" s="354"/>
      <c r="G81" s="354"/>
      <c r="I81" s="354"/>
      <c r="J81" s="354"/>
      <c r="K81" s="354"/>
      <c r="O81" s="564"/>
      <c r="AA81" s="564"/>
      <c r="AB81" s="564"/>
    </row>
    <row r="82" spans="1:28" s="353" customFormat="1" x14ac:dyDescent="0.2">
      <c r="A82" s="354"/>
      <c r="B82" s="354"/>
      <c r="C82" s="354"/>
      <c r="D82" s="354"/>
      <c r="E82" s="354"/>
      <c r="F82" s="354"/>
      <c r="G82" s="354"/>
      <c r="I82" s="354"/>
      <c r="J82" s="354"/>
      <c r="K82" s="354"/>
      <c r="O82" s="564"/>
      <c r="AA82" s="564"/>
      <c r="AB82" s="564"/>
    </row>
    <row r="83" spans="1:28" s="353" customFormat="1" x14ac:dyDescent="0.2">
      <c r="A83" s="354"/>
      <c r="B83" s="354"/>
      <c r="C83" s="354"/>
      <c r="D83" s="354"/>
      <c r="E83" s="354"/>
      <c r="F83" s="354"/>
      <c r="G83" s="354"/>
      <c r="I83" s="354"/>
      <c r="J83" s="354"/>
      <c r="K83" s="354"/>
      <c r="O83" s="564"/>
      <c r="AA83" s="564"/>
      <c r="AB83" s="564"/>
    </row>
    <row r="84" spans="1:28" s="353" customFormat="1" x14ac:dyDescent="0.2">
      <c r="A84" s="354"/>
      <c r="B84" s="354"/>
      <c r="C84" s="354"/>
      <c r="D84" s="354"/>
      <c r="E84" s="354"/>
      <c r="F84" s="354"/>
      <c r="G84" s="354"/>
      <c r="I84" s="354"/>
      <c r="J84" s="354"/>
      <c r="K84" s="354"/>
      <c r="O84" s="564"/>
      <c r="AA84" s="564"/>
      <c r="AB84" s="564"/>
    </row>
    <row r="85" spans="1:28" s="353" customFormat="1" x14ac:dyDescent="0.2">
      <c r="A85" s="354"/>
      <c r="B85" s="354"/>
      <c r="C85" s="354"/>
      <c r="D85" s="354"/>
      <c r="E85" s="354"/>
      <c r="F85" s="354"/>
      <c r="G85" s="354"/>
      <c r="I85" s="354"/>
      <c r="J85" s="354"/>
      <c r="K85" s="354"/>
      <c r="O85" s="564"/>
      <c r="AA85" s="564"/>
      <c r="AB85" s="564"/>
    </row>
    <row r="86" spans="1:28" s="353" customFormat="1" x14ac:dyDescent="0.2">
      <c r="A86" s="354"/>
      <c r="B86" s="354"/>
      <c r="C86" s="354"/>
      <c r="D86" s="354"/>
      <c r="E86" s="354"/>
      <c r="F86" s="354"/>
      <c r="G86" s="354"/>
      <c r="I86" s="354"/>
      <c r="J86" s="354"/>
      <c r="K86" s="354"/>
      <c r="O86" s="564"/>
      <c r="AA86" s="564"/>
      <c r="AB86" s="564"/>
    </row>
    <row r="87" spans="1:28" s="353" customFormat="1" x14ac:dyDescent="0.2">
      <c r="A87" s="354"/>
      <c r="B87" s="354"/>
      <c r="C87" s="354"/>
      <c r="D87" s="354"/>
      <c r="E87" s="354"/>
      <c r="F87" s="354"/>
      <c r="G87" s="354"/>
      <c r="I87" s="354"/>
      <c r="J87" s="354"/>
      <c r="K87" s="354"/>
      <c r="O87" s="564"/>
      <c r="AA87" s="564"/>
      <c r="AB87" s="564"/>
    </row>
    <row r="88" spans="1:28" s="353" customFormat="1" x14ac:dyDescent="0.2">
      <c r="A88" s="354"/>
      <c r="B88" s="354"/>
      <c r="C88" s="354"/>
      <c r="D88" s="354"/>
      <c r="E88" s="354"/>
      <c r="F88" s="354"/>
      <c r="G88" s="354"/>
      <c r="I88" s="354"/>
      <c r="J88" s="354"/>
      <c r="K88" s="354"/>
      <c r="O88" s="564"/>
      <c r="AA88" s="564"/>
      <c r="AB88" s="564"/>
    </row>
    <row r="89" spans="1:28" s="353" customFormat="1" x14ac:dyDescent="0.2">
      <c r="A89" s="354"/>
      <c r="B89" s="354"/>
      <c r="C89" s="354"/>
      <c r="D89" s="354"/>
      <c r="E89" s="354"/>
      <c r="F89" s="354"/>
      <c r="G89" s="354"/>
      <c r="I89" s="354"/>
      <c r="J89" s="354"/>
      <c r="K89" s="354"/>
      <c r="O89" s="564"/>
      <c r="AA89" s="564"/>
      <c r="AB89" s="564"/>
    </row>
    <row r="90" spans="1:28" s="353" customFormat="1" x14ac:dyDescent="0.2">
      <c r="A90" s="354"/>
      <c r="B90" s="354"/>
      <c r="C90" s="354"/>
      <c r="D90" s="354"/>
      <c r="E90" s="354"/>
      <c r="F90" s="354"/>
      <c r="G90" s="354"/>
      <c r="I90" s="354"/>
      <c r="J90" s="354"/>
      <c r="K90" s="354"/>
      <c r="O90" s="564"/>
      <c r="AA90" s="564"/>
      <c r="AB90" s="564"/>
    </row>
    <row r="91" spans="1:28" s="353" customFormat="1" x14ac:dyDescent="0.2">
      <c r="A91" s="354"/>
      <c r="B91" s="354"/>
      <c r="C91" s="354"/>
      <c r="D91" s="354"/>
      <c r="E91" s="354"/>
      <c r="F91" s="354"/>
      <c r="G91" s="354"/>
      <c r="I91" s="354"/>
      <c r="J91" s="354"/>
      <c r="K91" s="354"/>
      <c r="O91" s="564"/>
      <c r="AA91" s="564"/>
      <c r="AB91" s="564"/>
    </row>
    <row r="92" spans="1:28" s="353" customFormat="1" x14ac:dyDescent="0.2">
      <c r="A92" s="354"/>
      <c r="B92" s="354"/>
      <c r="C92" s="354"/>
      <c r="D92" s="354"/>
      <c r="E92" s="354"/>
      <c r="F92" s="354"/>
      <c r="G92" s="354"/>
      <c r="I92" s="354"/>
      <c r="J92" s="354"/>
      <c r="K92" s="354"/>
      <c r="O92" s="564"/>
      <c r="AA92" s="564"/>
      <c r="AB92" s="564"/>
    </row>
    <row r="93" spans="1:28" s="353" customFormat="1" x14ac:dyDescent="0.2">
      <c r="A93" s="354"/>
      <c r="B93" s="354"/>
      <c r="C93" s="354"/>
      <c r="D93" s="354"/>
      <c r="E93" s="354"/>
      <c r="F93" s="354"/>
      <c r="G93" s="354"/>
      <c r="I93" s="354"/>
      <c r="J93" s="354"/>
      <c r="K93" s="354"/>
      <c r="O93" s="564"/>
      <c r="AA93" s="564"/>
      <c r="AB93" s="564"/>
    </row>
    <row r="94" spans="1:28" s="353" customFormat="1" x14ac:dyDescent="0.2">
      <c r="A94" s="354"/>
      <c r="B94" s="354"/>
      <c r="C94" s="354"/>
      <c r="D94" s="354"/>
      <c r="E94" s="354"/>
      <c r="F94" s="354"/>
      <c r="G94" s="354"/>
      <c r="I94" s="354"/>
      <c r="J94" s="354"/>
      <c r="K94" s="354"/>
      <c r="O94" s="564"/>
      <c r="AA94" s="564"/>
      <c r="AB94" s="564"/>
    </row>
    <row r="95" spans="1:28" s="353" customFormat="1" x14ac:dyDescent="0.2">
      <c r="A95" s="354"/>
      <c r="B95" s="354"/>
      <c r="C95" s="354"/>
      <c r="D95" s="354"/>
      <c r="E95" s="354"/>
      <c r="F95" s="354"/>
      <c r="G95" s="354"/>
      <c r="I95" s="354"/>
      <c r="J95" s="354"/>
      <c r="K95" s="354"/>
      <c r="O95" s="564"/>
      <c r="AA95" s="564"/>
      <c r="AB95" s="564"/>
    </row>
    <row r="96" spans="1:28" s="353" customFormat="1" x14ac:dyDescent="0.2">
      <c r="A96" s="354"/>
      <c r="B96" s="354"/>
      <c r="C96" s="354"/>
      <c r="D96" s="354"/>
      <c r="E96" s="354"/>
      <c r="F96" s="354"/>
      <c r="G96" s="354"/>
      <c r="I96" s="354"/>
      <c r="J96" s="354"/>
      <c r="K96" s="354"/>
      <c r="O96" s="564"/>
      <c r="AA96" s="564"/>
      <c r="AB96" s="564"/>
    </row>
    <row r="97" spans="1:28" s="353" customFormat="1" x14ac:dyDescent="0.2">
      <c r="A97" s="354"/>
      <c r="B97" s="354"/>
      <c r="C97" s="354"/>
      <c r="D97" s="354"/>
      <c r="E97" s="354"/>
      <c r="F97" s="354"/>
      <c r="G97" s="354"/>
      <c r="I97" s="354"/>
      <c r="J97" s="354"/>
      <c r="K97" s="354"/>
      <c r="O97" s="564"/>
      <c r="AA97" s="564"/>
      <c r="AB97" s="564"/>
    </row>
    <row r="98" spans="1:28" s="353" customFormat="1" x14ac:dyDescent="0.2">
      <c r="A98" s="354"/>
      <c r="B98" s="354"/>
      <c r="C98" s="354"/>
      <c r="D98" s="354"/>
      <c r="E98" s="354"/>
      <c r="F98" s="354"/>
      <c r="G98" s="354"/>
      <c r="I98" s="354"/>
      <c r="J98" s="354"/>
      <c r="K98" s="354"/>
      <c r="O98" s="564"/>
      <c r="AA98" s="564"/>
      <c r="AB98" s="564"/>
    </row>
    <row r="99" spans="1:28" s="353" customFormat="1" x14ac:dyDescent="0.2">
      <c r="A99" s="354"/>
      <c r="B99" s="354"/>
      <c r="C99" s="354"/>
      <c r="D99" s="354"/>
      <c r="E99" s="354"/>
      <c r="F99" s="354"/>
      <c r="G99" s="354"/>
      <c r="I99" s="354"/>
      <c r="J99" s="354"/>
      <c r="K99" s="354"/>
      <c r="O99" s="564"/>
      <c r="AA99" s="564"/>
      <c r="AB99" s="564"/>
    </row>
    <row r="100" spans="1:28" s="353" customFormat="1" x14ac:dyDescent="0.2">
      <c r="A100" s="354"/>
      <c r="B100" s="354"/>
      <c r="C100" s="354"/>
      <c r="D100" s="354"/>
      <c r="E100" s="354"/>
      <c r="F100" s="354"/>
      <c r="G100" s="354"/>
      <c r="I100" s="354"/>
      <c r="J100" s="354"/>
      <c r="K100" s="354"/>
      <c r="O100" s="564"/>
      <c r="AA100" s="564"/>
      <c r="AB100" s="564"/>
    </row>
    <row r="101" spans="1:28" s="353" customFormat="1" x14ac:dyDescent="0.2">
      <c r="A101" s="354"/>
      <c r="B101" s="354"/>
      <c r="C101" s="354"/>
      <c r="D101" s="354"/>
      <c r="E101" s="354"/>
      <c r="F101" s="354"/>
      <c r="G101" s="354"/>
      <c r="I101" s="354"/>
      <c r="J101" s="354"/>
      <c r="K101" s="354"/>
      <c r="O101" s="564"/>
      <c r="AA101" s="564"/>
      <c r="AB101" s="564"/>
    </row>
    <row r="102" spans="1:28" s="353" customFormat="1" x14ac:dyDescent="0.2">
      <c r="A102" s="354"/>
      <c r="B102" s="354"/>
      <c r="C102" s="354"/>
      <c r="D102" s="354"/>
      <c r="E102" s="354"/>
      <c r="F102" s="354"/>
      <c r="G102" s="354"/>
      <c r="I102" s="354"/>
      <c r="J102" s="354"/>
      <c r="K102" s="354"/>
      <c r="O102" s="564"/>
      <c r="AA102" s="564"/>
      <c r="AB102" s="564"/>
    </row>
    <row r="103" spans="1:28" s="353" customFormat="1" x14ac:dyDescent="0.2">
      <c r="A103" s="354"/>
      <c r="B103" s="354"/>
      <c r="C103" s="354"/>
      <c r="D103" s="354"/>
      <c r="E103" s="354"/>
      <c r="F103" s="354"/>
      <c r="G103" s="354"/>
      <c r="I103" s="354"/>
      <c r="J103" s="354"/>
      <c r="K103" s="354"/>
      <c r="O103" s="564"/>
      <c r="AA103" s="564"/>
      <c r="AB103" s="564"/>
    </row>
    <row r="104" spans="1:28" s="353" customFormat="1" x14ac:dyDescent="0.2">
      <c r="A104" s="354"/>
      <c r="B104" s="354"/>
      <c r="C104" s="354"/>
      <c r="D104" s="354"/>
      <c r="E104" s="354"/>
      <c r="F104" s="354"/>
      <c r="G104" s="354"/>
      <c r="I104" s="354"/>
      <c r="J104" s="354"/>
      <c r="K104" s="354"/>
      <c r="O104" s="564"/>
      <c r="AA104" s="564"/>
      <c r="AB104" s="564"/>
    </row>
    <row r="105" spans="1:28" s="353" customFormat="1" x14ac:dyDescent="0.2">
      <c r="A105" s="354"/>
      <c r="B105" s="354"/>
      <c r="C105" s="354"/>
      <c r="D105" s="354"/>
      <c r="E105" s="354"/>
      <c r="F105" s="354"/>
      <c r="G105" s="354"/>
      <c r="I105" s="354"/>
      <c r="J105" s="354"/>
      <c r="K105" s="354"/>
      <c r="O105" s="564"/>
      <c r="AA105" s="564"/>
      <c r="AB105" s="564"/>
    </row>
    <row r="106" spans="1:28" s="353" customFormat="1" x14ac:dyDescent="0.2">
      <c r="A106" s="354"/>
      <c r="B106" s="354"/>
      <c r="C106" s="354"/>
      <c r="D106" s="354"/>
      <c r="E106" s="354"/>
      <c r="F106" s="354"/>
      <c r="G106" s="354"/>
      <c r="I106" s="354"/>
      <c r="J106" s="354"/>
      <c r="K106" s="354"/>
      <c r="O106" s="564"/>
      <c r="AA106" s="564"/>
      <c r="AB106" s="564"/>
    </row>
    <row r="107" spans="1:28" s="353" customFormat="1" x14ac:dyDescent="0.2">
      <c r="A107" s="354"/>
      <c r="B107" s="354"/>
      <c r="C107" s="354"/>
      <c r="D107" s="354"/>
      <c r="E107" s="354"/>
      <c r="F107" s="354"/>
      <c r="G107" s="354"/>
      <c r="I107" s="354"/>
      <c r="J107" s="354"/>
      <c r="K107" s="354"/>
      <c r="O107" s="564"/>
      <c r="AA107" s="564"/>
      <c r="AB107" s="564"/>
    </row>
    <row r="108" spans="1:28" s="353" customFormat="1" x14ac:dyDescent="0.2">
      <c r="A108" s="354"/>
      <c r="B108" s="354"/>
      <c r="C108" s="354"/>
      <c r="D108" s="354"/>
      <c r="E108" s="354"/>
      <c r="F108" s="354"/>
      <c r="G108" s="354"/>
      <c r="I108" s="354"/>
      <c r="J108" s="354"/>
      <c r="K108" s="354"/>
      <c r="O108" s="564"/>
      <c r="AA108" s="564"/>
      <c r="AB108" s="564"/>
    </row>
    <row r="109" spans="1:28" s="353" customFormat="1" x14ac:dyDescent="0.2">
      <c r="A109" s="354"/>
      <c r="B109" s="354"/>
      <c r="C109" s="354"/>
      <c r="D109" s="354"/>
      <c r="E109" s="354"/>
      <c r="F109" s="354"/>
      <c r="G109" s="354"/>
      <c r="I109" s="354"/>
      <c r="J109" s="354"/>
      <c r="K109" s="354"/>
      <c r="O109" s="564"/>
      <c r="AA109" s="564"/>
      <c r="AB109" s="564"/>
    </row>
    <row r="110" spans="1:28" s="353" customFormat="1" x14ac:dyDescent="0.2">
      <c r="A110" s="354"/>
      <c r="B110" s="354"/>
      <c r="C110" s="354"/>
      <c r="D110" s="354"/>
      <c r="E110" s="354"/>
      <c r="F110" s="354"/>
      <c r="G110" s="354"/>
      <c r="I110" s="354"/>
      <c r="J110" s="354"/>
      <c r="K110" s="354"/>
      <c r="O110" s="564"/>
      <c r="AA110" s="564"/>
      <c r="AB110" s="564"/>
    </row>
    <row r="111" spans="1:28" s="353" customFormat="1" x14ac:dyDescent="0.2">
      <c r="A111" s="354"/>
      <c r="B111" s="354"/>
      <c r="C111" s="354"/>
      <c r="D111" s="354"/>
      <c r="E111" s="354"/>
      <c r="F111" s="354"/>
      <c r="G111" s="354"/>
      <c r="I111" s="354"/>
      <c r="J111" s="354"/>
      <c r="K111" s="354"/>
      <c r="O111" s="564"/>
      <c r="AA111" s="564"/>
      <c r="AB111" s="564"/>
    </row>
    <row r="112" spans="1:28" s="353" customFormat="1" x14ac:dyDescent="0.2">
      <c r="A112" s="354"/>
      <c r="B112" s="354"/>
      <c r="C112" s="354"/>
      <c r="D112" s="354"/>
      <c r="E112" s="354"/>
      <c r="F112" s="354"/>
      <c r="G112" s="354"/>
      <c r="I112" s="354"/>
      <c r="J112" s="354"/>
      <c r="K112" s="354"/>
      <c r="O112" s="564"/>
      <c r="AA112" s="564"/>
      <c r="AB112" s="564"/>
    </row>
    <row r="113" spans="1:28" s="353" customFormat="1" x14ac:dyDescent="0.2">
      <c r="A113" s="354"/>
      <c r="B113" s="354"/>
      <c r="C113" s="354"/>
      <c r="D113" s="354"/>
      <c r="E113" s="354"/>
      <c r="F113" s="354"/>
      <c r="G113" s="354"/>
      <c r="I113" s="354"/>
      <c r="J113" s="354"/>
      <c r="K113" s="354"/>
      <c r="O113" s="564"/>
      <c r="AA113" s="564"/>
      <c r="AB113" s="564"/>
    </row>
    <row r="114" spans="1:28" s="353" customFormat="1" x14ac:dyDescent="0.2">
      <c r="A114" s="354"/>
      <c r="B114" s="354"/>
      <c r="C114" s="354"/>
      <c r="D114" s="354"/>
      <c r="E114" s="354"/>
      <c r="F114" s="354"/>
      <c r="G114" s="354"/>
      <c r="I114" s="354"/>
      <c r="J114" s="354"/>
      <c r="K114" s="354"/>
      <c r="O114" s="564"/>
      <c r="AA114" s="564"/>
      <c r="AB114" s="564"/>
    </row>
    <row r="115" spans="1:28" s="353" customFormat="1" x14ac:dyDescent="0.2">
      <c r="A115" s="354"/>
      <c r="B115" s="354"/>
      <c r="C115" s="354"/>
      <c r="D115" s="354"/>
      <c r="E115" s="354"/>
      <c r="F115" s="354"/>
      <c r="G115" s="354"/>
      <c r="I115" s="354"/>
      <c r="J115" s="354"/>
      <c r="K115" s="354"/>
      <c r="O115" s="564"/>
      <c r="AA115" s="564"/>
      <c r="AB115" s="564"/>
    </row>
    <row r="116" spans="1:28" s="353" customFormat="1" x14ac:dyDescent="0.2">
      <c r="A116" s="354"/>
      <c r="B116" s="354"/>
      <c r="C116" s="354"/>
      <c r="D116" s="354"/>
      <c r="E116" s="354"/>
      <c r="F116" s="354"/>
      <c r="G116" s="354"/>
      <c r="I116" s="354"/>
      <c r="J116" s="354"/>
      <c r="K116" s="354"/>
      <c r="O116" s="564"/>
      <c r="AA116" s="564"/>
      <c r="AB116" s="564"/>
    </row>
    <row r="117" spans="1:28" s="353" customFormat="1" x14ac:dyDescent="0.2">
      <c r="A117" s="354"/>
      <c r="B117" s="354"/>
      <c r="C117" s="354"/>
      <c r="D117" s="354"/>
      <c r="E117" s="354"/>
      <c r="F117" s="354"/>
      <c r="G117" s="354"/>
      <c r="I117" s="354"/>
      <c r="J117" s="354"/>
      <c r="K117" s="354"/>
      <c r="O117" s="564"/>
      <c r="AA117" s="564"/>
      <c r="AB117" s="564"/>
    </row>
    <row r="118" spans="1:28" s="353" customFormat="1" x14ac:dyDescent="0.2">
      <c r="A118" s="354"/>
      <c r="B118" s="354"/>
      <c r="C118" s="354"/>
      <c r="D118" s="354"/>
      <c r="E118" s="354"/>
      <c r="F118" s="354"/>
      <c r="G118" s="354"/>
      <c r="I118" s="354"/>
      <c r="J118" s="354"/>
      <c r="K118" s="354"/>
      <c r="O118" s="564"/>
      <c r="AA118" s="564"/>
      <c r="AB118" s="564"/>
    </row>
    <row r="119" spans="1:28" s="353" customFormat="1" x14ac:dyDescent="0.2">
      <c r="A119" s="354"/>
      <c r="B119" s="354"/>
      <c r="C119" s="354"/>
      <c r="D119" s="354"/>
      <c r="E119" s="354"/>
      <c r="F119" s="354"/>
      <c r="G119" s="354"/>
      <c r="I119" s="354"/>
      <c r="J119" s="354"/>
      <c r="K119" s="354"/>
      <c r="O119" s="564"/>
      <c r="AA119" s="564"/>
      <c r="AB119" s="564"/>
    </row>
    <row r="120" spans="1:28" s="353" customFormat="1" x14ac:dyDescent="0.2">
      <c r="A120" s="354"/>
      <c r="B120" s="354"/>
      <c r="C120" s="354"/>
      <c r="D120" s="354"/>
      <c r="E120" s="354"/>
      <c r="F120" s="354"/>
      <c r="G120" s="354"/>
      <c r="I120" s="354"/>
      <c r="J120" s="354"/>
      <c r="K120" s="354"/>
      <c r="O120" s="564"/>
      <c r="AA120" s="564"/>
      <c r="AB120" s="564"/>
    </row>
    <row r="121" spans="1:28" s="353" customFormat="1" x14ac:dyDescent="0.2">
      <c r="A121" s="354"/>
      <c r="B121" s="354"/>
      <c r="C121" s="354"/>
      <c r="D121" s="354"/>
      <c r="E121" s="354"/>
      <c r="F121" s="354"/>
      <c r="G121" s="354"/>
      <c r="I121" s="354"/>
      <c r="J121" s="354"/>
      <c r="K121" s="354"/>
      <c r="O121" s="564"/>
    </row>
    <row r="122" spans="1:28" s="353" customFormat="1" x14ac:dyDescent="0.2">
      <c r="A122" s="354"/>
      <c r="B122" s="354"/>
      <c r="C122" s="354"/>
      <c r="D122" s="354"/>
      <c r="E122" s="354"/>
      <c r="F122" s="354"/>
      <c r="G122" s="354"/>
      <c r="I122" s="354"/>
      <c r="J122" s="354"/>
      <c r="K122" s="354"/>
      <c r="O122" s="564"/>
    </row>
    <row r="123" spans="1:28" s="353" customFormat="1" x14ac:dyDescent="0.2">
      <c r="A123" s="354"/>
      <c r="B123" s="354"/>
      <c r="C123" s="354"/>
      <c r="D123" s="354"/>
      <c r="E123" s="354"/>
      <c r="F123" s="354"/>
      <c r="G123" s="354"/>
      <c r="I123" s="354"/>
      <c r="J123" s="354"/>
      <c r="K123" s="354"/>
      <c r="O123" s="564"/>
    </row>
    <row r="124" spans="1:28" s="353" customFormat="1" x14ac:dyDescent="0.2">
      <c r="A124" s="354"/>
      <c r="B124" s="354"/>
      <c r="C124" s="354"/>
      <c r="D124" s="354"/>
      <c r="E124" s="354"/>
      <c r="F124" s="354"/>
      <c r="G124" s="354"/>
      <c r="I124" s="354"/>
      <c r="J124" s="354"/>
      <c r="K124" s="354"/>
      <c r="O124" s="564"/>
    </row>
    <row r="125" spans="1:28" s="353" customFormat="1" x14ac:dyDescent="0.2">
      <c r="A125" s="354"/>
      <c r="B125" s="354"/>
      <c r="C125" s="354"/>
      <c r="D125" s="354"/>
      <c r="E125" s="354"/>
      <c r="F125" s="354"/>
      <c r="G125" s="354"/>
      <c r="I125" s="354"/>
      <c r="J125" s="354"/>
      <c r="K125" s="354"/>
      <c r="O125" s="564"/>
    </row>
    <row r="126" spans="1:28" s="353" customFormat="1" x14ac:dyDescent="0.2">
      <c r="A126" s="354"/>
      <c r="B126" s="354"/>
      <c r="C126" s="354"/>
      <c r="D126" s="354"/>
      <c r="E126" s="354"/>
      <c r="F126" s="354"/>
      <c r="G126" s="354"/>
      <c r="I126" s="354"/>
      <c r="J126" s="354"/>
      <c r="K126" s="354"/>
      <c r="O126" s="564"/>
    </row>
    <row r="127" spans="1:28" s="353" customFormat="1" x14ac:dyDescent="0.2">
      <c r="A127" s="354"/>
      <c r="B127" s="354"/>
      <c r="C127" s="354"/>
      <c r="D127" s="354"/>
      <c r="E127" s="354"/>
      <c r="F127" s="354"/>
      <c r="G127" s="354"/>
      <c r="I127" s="354"/>
      <c r="J127" s="354"/>
      <c r="K127" s="354"/>
      <c r="O127" s="564"/>
    </row>
    <row r="128" spans="1:28" s="353" customFormat="1" x14ac:dyDescent="0.2">
      <c r="A128" s="354"/>
      <c r="B128" s="354"/>
      <c r="C128" s="354"/>
      <c r="D128" s="354"/>
      <c r="E128" s="354"/>
      <c r="F128" s="354"/>
      <c r="G128" s="354"/>
      <c r="I128" s="354"/>
      <c r="J128" s="354"/>
      <c r="K128" s="354"/>
      <c r="O128" s="564"/>
    </row>
    <row r="129" spans="1:15" s="353" customFormat="1" x14ac:dyDescent="0.2">
      <c r="A129" s="354"/>
      <c r="B129" s="354"/>
      <c r="C129" s="354"/>
      <c r="D129" s="354"/>
      <c r="E129" s="354"/>
      <c r="F129" s="354"/>
      <c r="G129" s="354"/>
      <c r="I129" s="354"/>
      <c r="J129" s="354"/>
      <c r="K129" s="354"/>
      <c r="O129" s="564"/>
    </row>
    <row r="130" spans="1:15" s="353" customFormat="1" x14ac:dyDescent="0.2">
      <c r="A130" s="354"/>
      <c r="B130" s="354"/>
      <c r="C130" s="354"/>
      <c r="D130" s="354"/>
      <c r="E130" s="354"/>
      <c r="F130" s="354"/>
      <c r="G130" s="354"/>
      <c r="I130" s="354"/>
      <c r="J130" s="354"/>
      <c r="K130" s="354"/>
      <c r="O130" s="564"/>
    </row>
    <row r="131" spans="1:15" s="353" customFormat="1" x14ac:dyDescent="0.2">
      <c r="A131" s="354"/>
      <c r="B131" s="354"/>
      <c r="C131" s="354"/>
      <c r="D131" s="354"/>
      <c r="E131" s="354"/>
      <c r="F131" s="354"/>
      <c r="G131" s="354"/>
      <c r="I131" s="354"/>
      <c r="J131" s="354"/>
      <c r="K131" s="354"/>
      <c r="O131" s="564"/>
    </row>
    <row r="132" spans="1:15" s="353" customFormat="1" x14ac:dyDescent="0.2">
      <c r="A132" s="354"/>
      <c r="B132" s="354"/>
      <c r="C132" s="354"/>
      <c r="D132" s="354"/>
      <c r="E132" s="354"/>
      <c r="F132" s="354"/>
      <c r="G132" s="354"/>
      <c r="I132" s="354"/>
      <c r="J132" s="354"/>
      <c r="K132" s="354"/>
      <c r="O132" s="564"/>
    </row>
    <row r="133" spans="1:15" s="353" customFormat="1" x14ac:dyDescent="0.2">
      <c r="A133" s="354"/>
      <c r="B133" s="354"/>
      <c r="C133" s="354"/>
      <c r="D133" s="354"/>
      <c r="E133" s="354"/>
      <c r="F133" s="354"/>
      <c r="G133" s="354"/>
      <c r="I133" s="354"/>
      <c r="J133" s="354"/>
      <c r="K133" s="354"/>
      <c r="O133" s="564"/>
    </row>
    <row r="134" spans="1:15" s="353" customFormat="1" x14ac:dyDescent="0.2">
      <c r="A134" s="354"/>
      <c r="B134" s="354"/>
      <c r="C134" s="354"/>
      <c r="D134" s="354"/>
      <c r="E134" s="354"/>
      <c r="F134" s="354"/>
      <c r="G134" s="354"/>
      <c r="I134" s="354"/>
      <c r="J134" s="354"/>
      <c r="K134" s="354"/>
      <c r="O134" s="564"/>
    </row>
    <row r="135" spans="1:15" s="353" customFormat="1" x14ac:dyDescent="0.2">
      <c r="A135" s="354"/>
      <c r="B135" s="354"/>
      <c r="C135" s="354"/>
      <c r="D135" s="354"/>
      <c r="E135" s="354"/>
      <c r="F135" s="354"/>
      <c r="G135" s="354"/>
      <c r="I135" s="354"/>
      <c r="J135" s="354"/>
      <c r="K135" s="354"/>
      <c r="O135" s="564"/>
    </row>
    <row r="136" spans="1:15" s="353" customFormat="1" x14ac:dyDescent="0.2">
      <c r="A136" s="354"/>
      <c r="B136" s="354"/>
      <c r="C136" s="354"/>
      <c r="D136" s="354"/>
      <c r="E136" s="354"/>
      <c r="F136" s="354"/>
      <c r="G136" s="354"/>
      <c r="I136" s="354"/>
      <c r="J136" s="354"/>
      <c r="K136" s="354"/>
      <c r="O136" s="564"/>
    </row>
    <row r="137" spans="1:15" s="353" customFormat="1" x14ac:dyDescent="0.2">
      <c r="A137" s="354"/>
      <c r="B137" s="354"/>
      <c r="C137" s="354"/>
      <c r="D137" s="354"/>
      <c r="E137" s="354"/>
      <c r="F137" s="354"/>
      <c r="G137" s="354"/>
      <c r="I137" s="354"/>
      <c r="J137" s="354"/>
      <c r="K137" s="354"/>
      <c r="O137" s="564"/>
    </row>
    <row r="138" spans="1:15" s="353" customFormat="1" x14ac:dyDescent="0.2">
      <c r="A138" s="354"/>
      <c r="B138" s="354"/>
      <c r="C138" s="354"/>
      <c r="D138" s="354"/>
      <c r="E138" s="354"/>
      <c r="F138" s="354"/>
      <c r="G138" s="354"/>
      <c r="I138" s="354"/>
      <c r="J138" s="354"/>
      <c r="K138" s="354"/>
      <c r="O138" s="564"/>
    </row>
    <row r="139" spans="1:15" s="353" customFormat="1" x14ac:dyDescent="0.2">
      <c r="A139" s="354"/>
      <c r="B139" s="354"/>
      <c r="C139" s="354"/>
      <c r="D139" s="354"/>
      <c r="E139" s="354"/>
      <c r="F139" s="354"/>
      <c r="G139" s="354"/>
      <c r="I139" s="354"/>
      <c r="J139" s="354"/>
      <c r="K139" s="354"/>
      <c r="O139" s="564"/>
    </row>
    <row r="140" spans="1:15" s="353" customFormat="1" x14ac:dyDescent="0.2">
      <c r="A140" s="354"/>
      <c r="B140" s="354"/>
      <c r="C140" s="354"/>
      <c r="D140" s="354"/>
      <c r="E140" s="354"/>
      <c r="F140" s="354"/>
      <c r="G140" s="354"/>
      <c r="I140" s="354"/>
      <c r="J140" s="354"/>
      <c r="K140" s="354"/>
      <c r="O140" s="564"/>
    </row>
    <row r="141" spans="1:15" s="353" customFormat="1" x14ac:dyDescent="0.2">
      <c r="A141" s="354"/>
      <c r="B141" s="354"/>
      <c r="C141" s="354"/>
      <c r="D141" s="354"/>
      <c r="E141" s="354"/>
      <c r="F141" s="354"/>
      <c r="G141" s="354"/>
      <c r="I141" s="354"/>
      <c r="J141" s="354"/>
      <c r="K141" s="354"/>
      <c r="O141" s="564"/>
    </row>
    <row r="142" spans="1:15" s="353" customFormat="1" x14ac:dyDescent="0.2">
      <c r="A142" s="354"/>
      <c r="B142" s="354"/>
      <c r="C142" s="354"/>
      <c r="D142" s="354"/>
      <c r="E142" s="354"/>
      <c r="F142" s="354"/>
      <c r="G142" s="354"/>
      <c r="I142" s="354"/>
      <c r="J142" s="354"/>
      <c r="K142" s="354"/>
      <c r="O142" s="564"/>
    </row>
    <row r="143" spans="1:15" s="353" customFormat="1" x14ac:dyDescent="0.2">
      <c r="A143" s="354"/>
      <c r="B143" s="354"/>
      <c r="C143" s="354"/>
      <c r="D143" s="354"/>
      <c r="E143" s="354"/>
      <c r="F143" s="354"/>
      <c r="G143" s="354"/>
      <c r="I143" s="354"/>
      <c r="J143" s="354"/>
      <c r="K143" s="354"/>
      <c r="O143" s="564"/>
    </row>
    <row r="144" spans="1:15" s="353" customFormat="1" x14ac:dyDescent="0.2">
      <c r="A144" s="354"/>
      <c r="B144" s="354"/>
      <c r="C144" s="354"/>
      <c r="D144" s="354"/>
      <c r="E144" s="354"/>
      <c r="F144" s="354"/>
      <c r="G144" s="354"/>
      <c r="I144" s="354"/>
      <c r="J144" s="354"/>
      <c r="K144" s="354"/>
      <c r="O144" s="564"/>
    </row>
    <row r="145" spans="1:15" s="353" customFormat="1" x14ac:dyDescent="0.2">
      <c r="A145" s="354"/>
      <c r="B145" s="354"/>
      <c r="C145" s="354"/>
      <c r="D145" s="354"/>
      <c r="E145" s="354"/>
      <c r="F145" s="354"/>
      <c r="G145" s="354"/>
      <c r="I145" s="354"/>
      <c r="J145" s="354"/>
      <c r="K145" s="354"/>
      <c r="O145" s="564"/>
    </row>
    <row r="146" spans="1:15" s="353" customFormat="1" x14ac:dyDescent="0.2">
      <c r="A146" s="354"/>
      <c r="B146" s="354"/>
      <c r="C146" s="354"/>
      <c r="D146" s="354"/>
      <c r="E146" s="354"/>
      <c r="F146" s="354"/>
      <c r="G146" s="354"/>
      <c r="I146" s="354"/>
      <c r="J146" s="354"/>
      <c r="K146" s="354"/>
      <c r="O146" s="564"/>
    </row>
    <row r="147" spans="1:15" s="353" customFormat="1" x14ac:dyDescent="0.2">
      <c r="A147" s="354"/>
      <c r="B147" s="354"/>
      <c r="C147" s="354"/>
      <c r="D147" s="354"/>
      <c r="E147" s="354"/>
      <c r="F147" s="354"/>
      <c r="G147" s="354"/>
      <c r="I147" s="354"/>
      <c r="J147" s="354"/>
      <c r="K147" s="354"/>
      <c r="O147" s="564"/>
    </row>
    <row r="148" spans="1:15" s="353" customFormat="1" x14ac:dyDescent="0.2">
      <c r="A148" s="354"/>
      <c r="B148" s="354"/>
      <c r="C148" s="354"/>
      <c r="D148" s="354"/>
      <c r="E148" s="354"/>
      <c r="F148" s="354"/>
      <c r="G148" s="354"/>
      <c r="I148" s="354"/>
      <c r="J148" s="354"/>
      <c r="K148" s="354"/>
      <c r="O148" s="564"/>
    </row>
    <row r="149" spans="1:15" s="353" customFormat="1" x14ac:dyDescent="0.2">
      <c r="A149" s="354"/>
      <c r="B149" s="354"/>
      <c r="C149" s="354"/>
      <c r="D149" s="354"/>
      <c r="E149" s="354"/>
      <c r="F149" s="354"/>
      <c r="G149" s="354"/>
      <c r="I149" s="354"/>
      <c r="J149" s="354"/>
      <c r="K149" s="354"/>
      <c r="O149" s="564"/>
    </row>
    <row r="150" spans="1:15" s="353" customFormat="1" x14ac:dyDescent="0.2">
      <c r="A150" s="354"/>
      <c r="B150" s="354"/>
      <c r="C150" s="354"/>
      <c r="D150" s="354"/>
      <c r="E150" s="354"/>
      <c r="F150" s="354"/>
      <c r="G150" s="354"/>
      <c r="I150" s="354"/>
      <c r="J150" s="354"/>
      <c r="K150" s="354"/>
      <c r="O150" s="564"/>
    </row>
    <row r="151" spans="1:15" s="353" customFormat="1" x14ac:dyDescent="0.2">
      <c r="A151" s="354"/>
      <c r="B151" s="354"/>
      <c r="C151" s="354"/>
      <c r="D151" s="354"/>
      <c r="E151" s="354"/>
      <c r="F151" s="354"/>
      <c r="G151" s="354"/>
      <c r="I151" s="354"/>
      <c r="J151" s="354"/>
      <c r="K151" s="354"/>
      <c r="O151" s="564"/>
    </row>
    <row r="152" spans="1:15" s="353" customFormat="1" x14ac:dyDescent="0.2">
      <c r="A152" s="354"/>
      <c r="B152" s="354"/>
      <c r="C152" s="354"/>
      <c r="D152" s="354"/>
      <c r="E152" s="354"/>
      <c r="F152" s="354"/>
      <c r="G152" s="354"/>
      <c r="I152" s="354"/>
      <c r="J152" s="354"/>
      <c r="K152" s="354"/>
      <c r="O152" s="564"/>
    </row>
    <row r="153" spans="1:15" s="353" customFormat="1" x14ac:dyDescent="0.2">
      <c r="A153" s="354"/>
      <c r="B153" s="354"/>
      <c r="C153" s="354"/>
      <c r="D153" s="354"/>
      <c r="E153" s="354"/>
      <c r="F153" s="354"/>
      <c r="G153" s="354"/>
      <c r="I153" s="354"/>
      <c r="J153" s="354"/>
      <c r="K153" s="354"/>
      <c r="O153" s="564"/>
    </row>
    <row r="154" spans="1:15" s="353" customFormat="1" x14ac:dyDescent="0.2">
      <c r="A154" s="354"/>
      <c r="B154" s="354"/>
      <c r="C154" s="354"/>
      <c r="D154" s="354"/>
      <c r="E154" s="354"/>
      <c r="F154" s="354"/>
      <c r="G154" s="354"/>
      <c r="I154" s="354"/>
      <c r="J154" s="354"/>
      <c r="K154" s="354"/>
      <c r="O154" s="564"/>
    </row>
    <row r="155" spans="1:15" s="353" customFormat="1" x14ac:dyDescent="0.2">
      <c r="A155" s="354"/>
      <c r="B155" s="354"/>
      <c r="C155" s="354"/>
      <c r="D155" s="354"/>
      <c r="E155" s="354"/>
      <c r="F155" s="354"/>
      <c r="G155" s="354"/>
      <c r="I155" s="354"/>
      <c r="J155" s="354"/>
      <c r="K155" s="354"/>
      <c r="O155" s="564"/>
    </row>
    <row r="156" spans="1:15" s="353" customFormat="1" x14ac:dyDescent="0.2">
      <c r="A156" s="354"/>
      <c r="B156" s="354"/>
      <c r="C156" s="354"/>
      <c r="D156" s="354"/>
      <c r="E156" s="354"/>
      <c r="F156" s="354"/>
      <c r="G156" s="354"/>
      <c r="I156" s="354"/>
      <c r="J156" s="354"/>
      <c r="K156" s="354"/>
      <c r="O156" s="564"/>
    </row>
    <row r="157" spans="1:15" s="353" customFormat="1" x14ac:dyDescent="0.2">
      <c r="A157" s="354"/>
      <c r="B157" s="354"/>
      <c r="C157" s="354"/>
      <c r="D157" s="354"/>
      <c r="E157" s="354"/>
      <c r="F157" s="354"/>
      <c r="G157" s="354"/>
      <c r="I157" s="354"/>
      <c r="J157" s="354"/>
      <c r="K157" s="354"/>
      <c r="O157" s="564"/>
    </row>
    <row r="158" spans="1:15" s="353" customFormat="1" x14ac:dyDescent="0.2">
      <c r="A158" s="354"/>
      <c r="B158" s="354"/>
      <c r="C158" s="354"/>
      <c r="D158" s="354"/>
      <c r="E158" s="354"/>
      <c r="F158" s="354"/>
      <c r="G158" s="354"/>
      <c r="I158" s="354"/>
      <c r="J158" s="354"/>
      <c r="K158" s="354"/>
      <c r="O158" s="564"/>
    </row>
    <row r="159" spans="1:15" s="353" customFormat="1" x14ac:dyDescent="0.2">
      <c r="A159" s="354"/>
      <c r="B159" s="354"/>
      <c r="C159" s="354"/>
      <c r="D159" s="354"/>
      <c r="E159" s="354"/>
      <c r="F159" s="354"/>
      <c r="G159" s="354"/>
      <c r="I159" s="354"/>
      <c r="J159" s="354"/>
      <c r="K159" s="354"/>
      <c r="O159" s="564"/>
    </row>
    <row r="160" spans="1:15" s="353" customFormat="1" x14ac:dyDescent="0.2">
      <c r="A160" s="354"/>
      <c r="B160" s="354"/>
      <c r="C160" s="354"/>
      <c r="D160" s="354"/>
      <c r="E160" s="354"/>
      <c r="F160" s="354"/>
      <c r="G160" s="354"/>
      <c r="I160" s="354"/>
      <c r="J160" s="354"/>
      <c r="K160" s="354"/>
      <c r="O160" s="564"/>
    </row>
    <row r="161" spans="1:15" s="353" customFormat="1" x14ac:dyDescent="0.2">
      <c r="A161" s="354"/>
      <c r="B161" s="354"/>
      <c r="C161" s="354"/>
      <c r="D161" s="354"/>
      <c r="E161" s="354"/>
      <c r="F161" s="354"/>
      <c r="G161" s="354"/>
      <c r="I161" s="354"/>
      <c r="J161" s="354"/>
      <c r="K161" s="354"/>
      <c r="O161" s="564"/>
    </row>
    <row r="162" spans="1:15" s="353" customFormat="1" x14ac:dyDescent="0.2">
      <c r="A162" s="354"/>
      <c r="B162" s="354"/>
      <c r="C162" s="354"/>
      <c r="D162" s="354"/>
      <c r="E162" s="354"/>
      <c r="F162" s="354"/>
      <c r="G162" s="354"/>
      <c r="I162" s="354"/>
      <c r="J162" s="354"/>
      <c r="K162" s="354"/>
      <c r="O162" s="564"/>
    </row>
    <row r="163" spans="1:15" s="353" customFormat="1" x14ac:dyDescent="0.2">
      <c r="A163" s="354"/>
      <c r="B163" s="354"/>
      <c r="C163" s="354"/>
      <c r="D163" s="354"/>
      <c r="E163" s="354"/>
      <c r="F163" s="354"/>
      <c r="G163" s="354"/>
      <c r="I163" s="354"/>
      <c r="J163" s="354"/>
      <c r="K163" s="354"/>
      <c r="O163" s="564"/>
    </row>
    <row r="164" spans="1:15" s="353" customFormat="1" x14ac:dyDescent="0.2">
      <c r="A164" s="354"/>
      <c r="B164" s="354"/>
      <c r="C164" s="354"/>
      <c r="D164" s="354"/>
      <c r="E164" s="354"/>
      <c r="F164" s="354"/>
      <c r="G164" s="354"/>
      <c r="I164" s="354"/>
      <c r="J164" s="354"/>
      <c r="K164" s="354"/>
      <c r="O164" s="564"/>
    </row>
    <row r="165" spans="1:15" s="353" customFormat="1" x14ac:dyDescent="0.2">
      <c r="A165" s="354"/>
      <c r="B165" s="354"/>
      <c r="C165" s="354"/>
      <c r="D165" s="354"/>
      <c r="E165" s="354"/>
      <c r="F165" s="354"/>
      <c r="G165" s="354"/>
      <c r="I165" s="354"/>
      <c r="J165" s="354"/>
      <c r="K165" s="354"/>
      <c r="O165" s="564"/>
    </row>
    <row r="166" spans="1:15" s="353" customFormat="1" x14ac:dyDescent="0.2">
      <c r="A166" s="354"/>
      <c r="B166" s="354"/>
      <c r="C166" s="354"/>
      <c r="D166" s="354"/>
      <c r="E166" s="354"/>
      <c r="F166" s="354"/>
      <c r="G166" s="354"/>
      <c r="I166" s="354"/>
      <c r="J166" s="354"/>
      <c r="K166" s="354"/>
      <c r="O166" s="564"/>
    </row>
    <row r="167" spans="1:15" s="353" customFormat="1" x14ac:dyDescent="0.2">
      <c r="A167" s="354"/>
      <c r="B167" s="354"/>
      <c r="C167" s="354"/>
      <c r="D167" s="354"/>
      <c r="E167" s="354"/>
      <c r="F167" s="354"/>
      <c r="G167" s="354"/>
      <c r="I167" s="354"/>
      <c r="J167" s="354"/>
      <c r="K167" s="354"/>
      <c r="O167" s="564"/>
    </row>
    <row r="168" spans="1:15" s="353" customFormat="1" x14ac:dyDescent="0.2">
      <c r="A168" s="354"/>
      <c r="B168" s="354"/>
      <c r="C168" s="354"/>
      <c r="D168" s="354"/>
      <c r="E168" s="354"/>
      <c r="F168" s="354"/>
      <c r="G168" s="354"/>
      <c r="I168" s="354"/>
      <c r="J168" s="354"/>
      <c r="K168" s="354"/>
      <c r="O168" s="564"/>
    </row>
    <row r="169" spans="1:15" s="353" customFormat="1" x14ac:dyDescent="0.2">
      <c r="A169" s="354"/>
      <c r="B169" s="354"/>
      <c r="C169" s="354"/>
      <c r="D169" s="354"/>
      <c r="E169" s="354"/>
      <c r="F169" s="354"/>
      <c r="G169" s="354"/>
      <c r="I169" s="354"/>
      <c r="J169" s="354"/>
      <c r="K169" s="354"/>
      <c r="O169" s="564"/>
    </row>
    <row r="170" spans="1:15" s="353" customFormat="1" x14ac:dyDescent="0.2">
      <c r="A170" s="354"/>
      <c r="B170" s="354"/>
      <c r="C170" s="354"/>
      <c r="D170" s="354"/>
      <c r="E170" s="354"/>
      <c r="F170" s="354"/>
      <c r="G170" s="354"/>
      <c r="I170" s="354"/>
      <c r="J170" s="354"/>
      <c r="K170" s="354"/>
      <c r="O170" s="564"/>
    </row>
    <row r="171" spans="1:15" s="353" customFormat="1" x14ac:dyDescent="0.2">
      <c r="A171" s="354"/>
      <c r="B171" s="354"/>
      <c r="C171" s="354"/>
      <c r="D171" s="354"/>
      <c r="E171" s="354"/>
      <c r="F171" s="354"/>
      <c r="G171" s="354"/>
      <c r="I171" s="354"/>
      <c r="J171" s="354"/>
      <c r="K171" s="354"/>
      <c r="O171" s="564"/>
    </row>
    <row r="172" spans="1:15" s="353" customFormat="1" x14ac:dyDescent="0.2">
      <c r="A172" s="354"/>
      <c r="B172" s="354"/>
      <c r="C172" s="354"/>
      <c r="D172" s="354"/>
      <c r="E172" s="354"/>
      <c r="F172" s="354"/>
      <c r="G172" s="354"/>
      <c r="I172" s="354"/>
      <c r="J172" s="354"/>
      <c r="K172" s="354"/>
      <c r="O172" s="564"/>
    </row>
    <row r="173" spans="1:15" s="353" customFormat="1" x14ac:dyDescent="0.2">
      <c r="A173" s="354"/>
      <c r="B173" s="354"/>
      <c r="C173" s="354"/>
      <c r="D173" s="354"/>
      <c r="E173" s="354"/>
      <c r="F173" s="354"/>
      <c r="G173" s="354"/>
      <c r="I173" s="354"/>
      <c r="J173" s="354"/>
      <c r="K173" s="354"/>
      <c r="O173" s="564"/>
    </row>
    <row r="174" spans="1:15" s="353" customFormat="1" x14ac:dyDescent="0.2">
      <c r="A174" s="354"/>
      <c r="B174" s="354"/>
      <c r="C174" s="354"/>
      <c r="D174" s="354"/>
      <c r="E174" s="354"/>
      <c r="F174" s="354"/>
      <c r="G174" s="354"/>
      <c r="I174" s="354"/>
      <c r="J174" s="354"/>
      <c r="K174" s="354"/>
      <c r="O174" s="564"/>
    </row>
    <row r="175" spans="1:15" s="353" customFormat="1" x14ac:dyDescent="0.2">
      <c r="A175" s="354"/>
      <c r="B175" s="354"/>
      <c r="C175" s="354"/>
      <c r="D175" s="354"/>
      <c r="E175" s="354"/>
      <c r="F175" s="354"/>
      <c r="G175" s="354"/>
      <c r="I175" s="354"/>
      <c r="J175" s="354"/>
      <c r="K175" s="354"/>
      <c r="O175" s="564"/>
    </row>
    <row r="176" spans="1:15" s="353" customFormat="1" x14ac:dyDescent="0.2">
      <c r="A176" s="354"/>
      <c r="B176" s="354"/>
      <c r="C176" s="354"/>
      <c r="D176" s="354"/>
      <c r="E176" s="354"/>
      <c r="F176" s="354"/>
      <c r="G176" s="354"/>
      <c r="I176" s="354"/>
      <c r="J176" s="354"/>
      <c r="K176" s="354"/>
      <c r="O176" s="564"/>
    </row>
    <row r="177" spans="1:15" s="353" customFormat="1" x14ac:dyDescent="0.2">
      <c r="A177" s="354"/>
      <c r="B177" s="354"/>
      <c r="C177" s="354"/>
      <c r="D177" s="354"/>
      <c r="E177" s="354"/>
      <c r="F177" s="354"/>
      <c r="G177" s="354"/>
      <c r="I177" s="354"/>
      <c r="J177" s="354"/>
      <c r="K177" s="354"/>
      <c r="O177" s="564"/>
    </row>
    <row r="178" spans="1:15" s="353" customFormat="1" x14ac:dyDescent="0.2">
      <c r="A178" s="354"/>
      <c r="B178" s="354"/>
      <c r="C178" s="354"/>
      <c r="D178" s="354"/>
      <c r="E178" s="354"/>
      <c r="F178" s="354"/>
      <c r="G178" s="354"/>
      <c r="I178" s="354"/>
      <c r="J178" s="354"/>
      <c r="K178" s="354"/>
      <c r="O178" s="564"/>
    </row>
    <row r="179" spans="1:15" s="353" customFormat="1" x14ac:dyDescent="0.2">
      <c r="A179" s="354"/>
      <c r="B179" s="354"/>
      <c r="C179" s="354"/>
      <c r="D179" s="354"/>
      <c r="E179" s="354"/>
      <c r="F179" s="354"/>
      <c r="G179" s="354"/>
      <c r="I179" s="354"/>
      <c r="J179" s="354"/>
      <c r="K179" s="354"/>
      <c r="O179" s="564"/>
    </row>
    <row r="180" spans="1:15" s="353" customFormat="1" x14ac:dyDescent="0.2">
      <c r="A180" s="354"/>
      <c r="B180" s="354"/>
      <c r="C180" s="354"/>
      <c r="D180" s="354"/>
      <c r="E180" s="354"/>
      <c r="F180" s="354"/>
      <c r="G180" s="354"/>
      <c r="I180" s="354"/>
      <c r="J180" s="354"/>
      <c r="K180" s="354"/>
      <c r="O180" s="564"/>
    </row>
    <row r="181" spans="1:15" s="353" customFormat="1" x14ac:dyDescent="0.2">
      <c r="A181" s="354"/>
      <c r="B181" s="354"/>
      <c r="C181" s="354"/>
      <c r="D181" s="354"/>
      <c r="E181" s="354"/>
      <c r="F181" s="354"/>
      <c r="G181" s="354"/>
      <c r="I181" s="354"/>
      <c r="J181" s="354"/>
      <c r="K181" s="354"/>
      <c r="O181" s="564"/>
    </row>
    <row r="182" spans="1:15" s="353" customFormat="1" x14ac:dyDescent="0.2">
      <c r="A182" s="354"/>
      <c r="B182" s="354"/>
      <c r="C182" s="354"/>
      <c r="D182" s="354"/>
      <c r="E182" s="354"/>
      <c r="F182" s="354"/>
      <c r="G182" s="354"/>
      <c r="I182" s="354"/>
      <c r="J182" s="354"/>
      <c r="K182" s="354"/>
      <c r="O182" s="564"/>
    </row>
    <row r="183" spans="1:15" s="353" customFormat="1" x14ac:dyDescent="0.2">
      <c r="A183" s="354"/>
      <c r="B183" s="354"/>
      <c r="C183" s="354"/>
      <c r="D183" s="354"/>
      <c r="E183" s="354"/>
      <c r="F183" s="354"/>
      <c r="G183" s="354"/>
      <c r="I183" s="354"/>
      <c r="J183" s="354"/>
      <c r="K183" s="354"/>
      <c r="O183" s="564"/>
    </row>
    <row r="184" spans="1:15" s="353" customFormat="1" x14ac:dyDescent="0.2">
      <c r="A184" s="354"/>
      <c r="B184" s="354"/>
      <c r="C184" s="354"/>
      <c r="D184" s="354"/>
      <c r="E184" s="354"/>
      <c r="F184" s="354"/>
      <c r="G184" s="354"/>
      <c r="I184" s="354"/>
      <c r="J184" s="354"/>
      <c r="K184" s="354"/>
      <c r="O184" s="564"/>
    </row>
    <row r="185" spans="1:15" s="353" customFormat="1" x14ac:dyDescent="0.2">
      <c r="A185" s="354"/>
      <c r="B185" s="354"/>
      <c r="C185" s="354"/>
      <c r="D185" s="354"/>
      <c r="E185" s="354"/>
      <c r="F185" s="354"/>
      <c r="G185" s="354"/>
      <c r="I185" s="354"/>
      <c r="J185" s="354"/>
      <c r="K185" s="354"/>
      <c r="O185" s="564"/>
    </row>
    <row r="186" spans="1:15" s="353" customFormat="1" x14ac:dyDescent="0.2">
      <c r="A186" s="354"/>
      <c r="B186" s="354"/>
      <c r="C186" s="354"/>
      <c r="D186" s="354"/>
      <c r="E186" s="354"/>
      <c r="F186" s="354"/>
      <c r="G186" s="354"/>
      <c r="I186" s="354"/>
      <c r="J186" s="354"/>
      <c r="K186" s="354"/>
      <c r="O186" s="564"/>
    </row>
    <row r="187" spans="1:15" s="353" customFormat="1" x14ac:dyDescent="0.2">
      <c r="A187" s="354"/>
      <c r="B187" s="354"/>
      <c r="C187" s="354"/>
      <c r="D187" s="354"/>
      <c r="E187" s="354"/>
      <c r="F187" s="354"/>
      <c r="G187" s="354"/>
      <c r="I187" s="354"/>
      <c r="J187" s="354"/>
      <c r="K187" s="354"/>
      <c r="O187" s="564"/>
    </row>
    <row r="188" spans="1:15" s="353" customFormat="1" x14ac:dyDescent="0.2">
      <c r="A188" s="354"/>
      <c r="B188" s="354"/>
      <c r="C188" s="354"/>
      <c r="D188" s="354"/>
      <c r="E188" s="354"/>
      <c r="F188" s="354"/>
      <c r="G188" s="354"/>
      <c r="I188" s="354"/>
      <c r="J188" s="354"/>
      <c r="K188" s="354"/>
      <c r="O188" s="564"/>
    </row>
    <row r="189" spans="1:15" s="353" customFormat="1" x14ac:dyDescent="0.2">
      <c r="A189" s="354"/>
      <c r="B189" s="354"/>
      <c r="C189" s="354"/>
      <c r="D189" s="354"/>
      <c r="E189" s="354"/>
      <c r="F189" s="354"/>
      <c r="G189" s="354"/>
      <c r="I189" s="354"/>
      <c r="J189" s="354"/>
      <c r="K189" s="354"/>
      <c r="O189" s="564"/>
    </row>
    <row r="190" spans="1:15" s="353" customFormat="1" x14ac:dyDescent="0.2">
      <c r="A190" s="354"/>
      <c r="B190" s="354"/>
      <c r="C190" s="354"/>
      <c r="D190" s="354"/>
      <c r="E190" s="354"/>
      <c r="F190" s="354"/>
      <c r="G190" s="354"/>
      <c r="I190" s="354"/>
      <c r="J190" s="354"/>
      <c r="K190" s="354"/>
      <c r="O190" s="564"/>
    </row>
    <row r="191" spans="1:15" s="353" customFormat="1" x14ac:dyDescent="0.2">
      <c r="A191" s="354"/>
      <c r="B191" s="354"/>
      <c r="C191" s="354"/>
      <c r="D191" s="354"/>
      <c r="E191" s="354"/>
      <c r="F191" s="354"/>
      <c r="G191" s="354"/>
      <c r="I191" s="354"/>
      <c r="J191" s="354"/>
      <c r="K191" s="354"/>
      <c r="O191" s="564"/>
    </row>
    <row r="192" spans="1:15" s="353" customFormat="1" x14ac:dyDescent="0.2">
      <c r="A192" s="354"/>
      <c r="B192" s="354"/>
      <c r="C192" s="354"/>
      <c r="D192" s="354"/>
      <c r="E192" s="354"/>
      <c r="F192" s="354"/>
      <c r="G192" s="354"/>
      <c r="I192" s="354"/>
      <c r="J192" s="354"/>
      <c r="K192" s="354"/>
      <c r="O192" s="564"/>
    </row>
    <row r="193" spans="1:15" s="353" customFormat="1" x14ac:dyDescent="0.2">
      <c r="A193" s="354"/>
      <c r="B193" s="354"/>
      <c r="C193" s="354"/>
      <c r="D193" s="354"/>
      <c r="E193" s="354"/>
      <c r="F193" s="354"/>
      <c r="G193" s="354"/>
      <c r="I193" s="354"/>
      <c r="J193" s="354"/>
      <c r="K193" s="354"/>
      <c r="O193" s="564"/>
    </row>
    <row r="194" spans="1:15" s="353" customFormat="1" x14ac:dyDescent="0.2">
      <c r="A194" s="354"/>
      <c r="B194" s="354"/>
      <c r="C194" s="354"/>
      <c r="D194" s="354"/>
      <c r="E194" s="354"/>
      <c r="F194" s="354"/>
      <c r="G194" s="354"/>
      <c r="I194" s="354"/>
      <c r="J194" s="354"/>
      <c r="K194" s="354"/>
      <c r="O194" s="564"/>
    </row>
    <row r="195" spans="1:15" s="353" customFormat="1" x14ac:dyDescent="0.2">
      <c r="A195" s="354"/>
      <c r="B195" s="354"/>
      <c r="C195" s="354"/>
      <c r="D195" s="354"/>
      <c r="E195" s="354"/>
      <c r="F195" s="354"/>
      <c r="G195" s="354"/>
      <c r="I195" s="354"/>
      <c r="J195" s="354"/>
      <c r="K195" s="354"/>
      <c r="O195" s="564"/>
    </row>
    <row r="196" spans="1:15" s="353" customFormat="1" x14ac:dyDescent="0.2">
      <c r="A196" s="354"/>
      <c r="B196" s="354"/>
      <c r="C196" s="354"/>
      <c r="D196" s="354"/>
      <c r="E196" s="354"/>
      <c r="F196" s="354"/>
      <c r="G196" s="354"/>
      <c r="I196" s="354"/>
      <c r="J196" s="354"/>
      <c r="K196" s="354"/>
      <c r="O196" s="564"/>
    </row>
    <row r="197" spans="1:15" s="353" customFormat="1" x14ac:dyDescent="0.2">
      <c r="A197" s="354"/>
      <c r="B197" s="354"/>
      <c r="C197" s="354"/>
      <c r="D197" s="354"/>
      <c r="E197" s="354"/>
      <c r="F197" s="354"/>
      <c r="G197" s="354"/>
      <c r="I197" s="354"/>
      <c r="J197" s="354"/>
      <c r="K197" s="354"/>
      <c r="O197" s="564"/>
    </row>
    <row r="198" spans="1:15" s="353" customFormat="1" x14ac:dyDescent="0.2">
      <c r="A198" s="354"/>
      <c r="B198" s="354"/>
      <c r="C198" s="354"/>
      <c r="D198" s="354"/>
      <c r="E198" s="354"/>
      <c r="F198" s="354"/>
      <c r="G198" s="354"/>
      <c r="I198" s="354"/>
      <c r="J198" s="354"/>
      <c r="K198" s="354"/>
      <c r="O198" s="564"/>
    </row>
    <row r="199" spans="1:15" s="353" customFormat="1" x14ac:dyDescent="0.2">
      <c r="A199" s="354"/>
      <c r="B199" s="354"/>
      <c r="C199" s="354"/>
      <c r="D199" s="354"/>
      <c r="E199" s="354"/>
      <c r="F199" s="354"/>
      <c r="G199" s="354"/>
      <c r="I199" s="354"/>
      <c r="J199" s="354"/>
      <c r="K199" s="354"/>
      <c r="O199" s="564"/>
    </row>
    <row r="200" spans="1:15" s="353" customFormat="1" x14ac:dyDescent="0.2">
      <c r="A200" s="354"/>
      <c r="B200" s="354"/>
      <c r="C200" s="354"/>
      <c r="D200" s="354"/>
      <c r="E200" s="354"/>
      <c r="F200" s="354"/>
      <c r="G200" s="354"/>
      <c r="I200" s="354"/>
      <c r="J200" s="354"/>
      <c r="K200" s="354"/>
      <c r="O200" s="564"/>
    </row>
    <row r="201" spans="1:15" s="353" customFormat="1" x14ac:dyDescent="0.2">
      <c r="A201" s="354"/>
      <c r="B201" s="354"/>
      <c r="C201" s="354"/>
      <c r="D201" s="354"/>
      <c r="E201" s="354"/>
      <c r="F201" s="354"/>
      <c r="G201" s="354"/>
      <c r="I201" s="354"/>
      <c r="J201" s="354"/>
      <c r="K201" s="354"/>
      <c r="O201" s="564"/>
    </row>
    <row r="202" spans="1:15" s="353" customFormat="1" x14ac:dyDescent="0.2">
      <c r="A202" s="354"/>
      <c r="B202" s="354"/>
      <c r="C202" s="354"/>
      <c r="D202" s="354"/>
      <c r="E202" s="354"/>
      <c r="F202" s="354"/>
      <c r="G202" s="354"/>
      <c r="I202" s="354"/>
      <c r="J202" s="354"/>
      <c r="K202" s="354"/>
      <c r="O202" s="564"/>
    </row>
    <row r="203" spans="1:15" s="353" customFormat="1" x14ac:dyDescent="0.2">
      <c r="A203" s="354"/>
      <c r="B203" s="354"/>
      <c r="C203" s="354"/>
      <c r="D203" s="354"/>
      <c r="E203" s="354"/>
      <c r="F203" s="354"/>
      <c r="G203" s="354"/>
      <c r="I203" s="354"/>
      <c r="J203" s="354"/>
      <c r="K203" s="354"/>
      <c r="O203" s="564"/>
    </row>
    <row r="204" spans="1:15" s="353" customFormat="1" x14ac:dyDescent="0.2">
      <c r="A204" s="354"/>
      <c r="B204" s="354"/>
      <c r="C204" s="354"/>
      <c r="D204" s="354"/>
      <c r="E204" s="354"/>
      <c r="F204" s="354"/>
      <c r="G204" s="354"/>
      <c r="I204" s="354"/>
      <c r="J204" s="354"/>
      <c r="K204" s="354"/>
      <c r="O204" s="564"/>
    </row>
    <row r="205" spans="1:15" s="353" customFormat="1" x14ac:dyDescent="0.2">
      <c r="A205" s="354"/>
      <c r="B205" s="354"/>
      <c r="C205" s="354"/>
      <c r="D205" s="354"/>
      <c r="E205" s="354"/>
      <c r="F205" s="354"/>
      <c r="G205" s="354"/>
      <c r="I205" s="354"/>
      <c r="J205" s="354"/>
      <c r="K205" s="354"/>
      <c r="O205" s="564"/>
    </row>
    <row r="206" spans="1:15" s="353" customFormat="1" x14ac:dyDescent="0.2">
      <c r="A206" s="354"/>
      <c r="B206" s="354"/>
      <c r="C206" s="354"/>
      <c r="D206" s="354"/>
      <c r="E206" s="354"/>
      <c r="F206" s="354"/>
      <c r="G206" s="354"/>
      <c r="I206" s="354"/>
      <c r="J206" s="354"/>
      <c r="K206" s="354"/>
      <c r="O206" s="564"/>
    </row>
    <row r="207" spans="1:15" s="353" customFormat="1" x14ac:dyDescent="0.2">
      <c r="A207" s="354"/>
      <c r="B207" s="354"/>
      <c r="C207" s="354"/>
      <c r="D207" s="354"/>
      <c r="E207" s="354"/>
      <c r="F207" s="354"/>
      <c r="G207" s="354"/>
      <c r="I207" s="354"/>
      <c r="J207" s="354"/>
      <c r="K207" s="354"/>
      <c r="O207" s="564"/>
    </row>
    <row r="208" spans="1:15" s="353" customFormat="1" x14ac:dyDescent="0.2">
      <c r="A208" s="354"/>
      <c r="B208" s="354"/>
      <c r="C208" s="354"/>
      <c r="D208" s="354"/>
      <c r="E208" s="354"/>
      <c r="F208" s="354"/>
      <c r="G208" s="354"/>
      <c r="I208" s="354"/>
      <c r="J208" s="354"/>
      <c r="K208" s="354"/>
      <c r="O208" s="564"/>
    </row>
    <row r="209" spans="1:15" s="353" customFormat="1" x14ac:dyDescent="0.2">
      <c r="A209" s="354"/>
      <c r="B209" s="354"/>
      <c r="C209" s="354"/>
      <c r="D209" s="354"/>
      <c r="E209" s="354"/>
      <c r="F209" s="354"/>
      <c r="G209" s="354"/>
      <c r="I209" s="354"/>
      <c r="J209" s="354"/>
      <c r="K209" s="354"/>
      <c r="O209" s="564"/>
    </row>
    <row r="210" spans="1:15" s="353" customFormat="1" x14ac:dyDescent="0.2">
      <c r="A210" s="354"/>
      <c r="B210" s="354"/>
      <c r="C210" s="354"/>
      <c r="D210" s="354"/>
      <c r="E210" s="354"/>
      <c r="F210" s="354"/>
      <c r="G210" s="354"/>
      <c r="I210" s="354"/>
      <c r="J210" s="354"/>
      <c r="K210" s="354"/>
      <c r="O210" s="564"/>
    </row>
    <row r="211" spans="1:15" s="353" customFormat="1" x14ac:dyDescent="0.2">
      <c r="A211" s="354"/>
      <c r="B211" s="354"/>
      <c r="C211" s="354"/>
      <c r="D211" s="354"/>
      <c r="E211" s="354"/>
      <c r="F211" s="354"/>
      <c r="G211" s="354"/>
      <c r="I211" s="354"/>
      <c r="J211" s="354"/>
      <c r="K211" s="354"/>
      <c r="O211" s="564"/>
    </row>
    <row r="212" spans="1:15" s="353" customFormat="1" x14ac:dyDescent="0.2">
      <c r="A212" s="354"/>
      <c r="B212" s="354"/>
      <c r="C212" s="354"/>
      <c r="D212" s="354"/>
      <c r="E212" s="354"/>
      <c r="F212" s="354"/>
      <c r="G212" s="354"/>
      <c r="I212" s="354"/>
      <c r="J212" s="354"/>
      <c r="K212" s="354"/>
      <c r="O212" s="564"/>
    </row>
    <row r="213" spans="1:15" s="353" customFormat="1" x14ac:dyDescent="0.2">
      <c r="A213" s="354"/>
      <c r="B213" s="354"/>
      <c r="C213" s="354"/>
      <c r="D213" s="354"/>
      <c r="E213" s="354"/>
      <c r="F213" s="354"/>
      <c r="G213" s="354"/>
      <c r="I213" s="354"/>
      <c r="J213" s="354"/>
      <c r="K213" s="354"/>
      <c r="O213" s="564"/>
    </row>
    <row r="214" spans="1:15" s="353" customFormat="1" x14ac:dyDescent="0.2">
      <c r="A214" s="354"/>
      <c r="B214" s="354"/>
      <c r="C214" s="354"/>
      <c r="D214" s="354"/>
      <c r="E214" s="354"/>
      <c r="F214" s="354"/>
      <c r="G214" s="354"/>
      <c r="I214" s="354"/>
      <c r="J214" s="354"/>
      <c r="K214" s="354"/>
      <c r="O214" s="564"/>
    </row>
    <row r="215" spans="1:15" s="353" customFormat="1" x14ac:dyDescent="0.2">
      <c r="A215" s="354"/>
      <c r="B215" s="354"/>
      <c r="C215" s="354"/>
      <c r="D215" s="354"/>
      <c r="E215" s="354"/>
      <c r="F215" s="354"/>
      <c r="G215" s="354"/>
      <c r="I215" s="354"/>
      <c r="J215" s="354"/>
      <c r="K215" s="354"/>
      <c r="O215" s="564"/>
    </row>
    <row r="216" spans="1:15" s="353" customFormat="1" x14ac:dyDescent="0.2">
      <c r="A216" s="354"/>
      <c r="B216" s="354"/>
      <c r="C216" s="354"/>
      <c r="D216" s="354"/>
      <c r="E216" s="354"/>
      <c r="F216" s="354"/>
      <c r="G216" s="354"/>
      <c r="I216" s="354"/>
      <c r="J216" s="354"/>
      <c r="K216" s="354"/>
      <c r="O216" s="564"/>
    </row>
    <row r="217" spans="1:15" s="353" customFormat="1" x14ac:dyDescent="0.2">
      <c r="A217" s="354"/>
      <c r="B217" s="354"/>
      <c r="C217" s="354"/>
      <c r="D217" s="354"/>
      <c r="E217" s="354"/>
      <c r="F217" s="354"/>
      <c r="G217" s="354"/>
      <c r="I217" s="354"/>
      <c r="J217" s="354"/>
      <c r="K217" s="354"/>
      <c r="O217" s="564"/>
    </row>
    <row r="218" spans="1:15" s="353" customFormat="1" x14ac:dyDescent="0.2">
      <c r="A218" s="354"/>
      <c r="B218" s="354"/>
      <c r="C218" s="354"/>
      <c r="D218" s="354"/>
      <c r="E218" s="354"/>
      <c r="F218" s="354"/>
      <c r="G218" s="354"/>
      <c r="I218" s="354"/>
      <c r="J218" s="354"/>
      <c r="K218" s="354"/>
      <c r="O218" s="564"/>
    </row>
    <row r="219" spans="1:15" s="353" customFormat="1" x14ac:dyDescent="0.2">
      <c r="A219" s="354"/>
      <c r="B219" s="354"/>
      <c r="C219" s="354"/>
      <c r="D219" s="354"/>
      <c r="E219" s="354"/>
      <c r="F219" s="354"/>
      <c r="G219" s="354"/>
      <c r="I219" s="354"/>
      <c r="J219" s="354"/>
      <c r="K219" s="354"/>
      <c r="O219" s="564"/>
    </row>
    <row r="220" spans="1:15" s="353" customFormat="1" x14ac:dyDescent="0.2">
      <c r="A220" s="354"/>
      <c r="B220" s="354"/>
      <c r="C220" s="354"/>
      <c r="D220" s="354"/>
      <c r="E220" s="354"/>
      <c r="F220" s="354"/>
      <c r="G220" s="354"/>
      <c r="I220" s="354"/>
      <c r="J220" s="354"/>
      <c r="K220" s="354"/>
      <c r="O220" s="564"/>
    </row>
    <row r="221" spans="1:15" s="353" customFormat="1" x14ac:dyDescent="0.2">
      <c r="A221" s="354"/>
      <c r="B221" s="354"/>
      <c r="C221" s="354"/>
      <c r="D221" s="354"/>
      <c r="E221" s="354"/>
      <c r="F221" s="354"/>
      <c r="G221" s="354"/>
      <c r="I221" s="354"/>
      <c r="J221" s="354"/>
      <c r="K221" s="354"/>
      <c r="O221" s="564"/>
    </row>
    <row r="222" spans="1:15" s="353" customFormat="1" x14ac:dyDescent="0.2">
      <c r="A222" s="354"/>
      <c r="B222" s="354"/>
      <c r="C222" s="354"/>
      <c r="D222" s="354"/>
      <c r="E222" s="354"/>
      <c r="F222" s="354"/>
      <c r="G222" s="354"/>
      <c r="I222" s="354"/>
      <c r="J222" s="354"/>
      <c r="K222" s="354"/>
      <c r="O222" s="564"/>
    </row>
    <row r="223" spans="1:15" s="353" customFormat="1" x14ac:dyDescent="0.2">
      <c r="A223" s="354"/>
      <c r="B223" s="354"/>
      <c r="C223" s="354"/>
      <c r="D223" s="354"/>
      <c r="E223" s="354"/>
      <c r="F223" s="354"/>
      <c r="G223" s="354"/>
      <c r="I223" s="354"/>
      <c r="J223" s="354"/>
      <c r="K223" s="354"/>
      <c r="O223" s="564"/>
    </row>
    <row r="224" spans="1:15" s="353" customFormat="1" x14ac:dyDescent="0.2">
      <c r="A224" s="354"/>
      <c r="B224" s="354"/>
      <c r="C224" s="354"/>
      <c r="D224" s="354"/>
      <c r="E224" s="354"/>
      <c r="F224" s="354"/>
      <c r="G224" s="354"/>
      <c r="I224" s="354"/>
      <c r="J224" s="354"/>
      <c r="K224" s="354"/>
      <c r="O224" s="564"/>
    </row>
    <row r="225" spans="1:15" s="353" customFormat="1" x14ac:dyDescent="0.2">
      <c r="A225" s="354"/>
      <c r="B225" s="354"/>
      <c r="C225" s="354"/>
      <c r="D225" s="354"/>
      <c r="E225" s="354"/>
      <c r="F225" s="354"/>
      <c r="G225" s="354"/>
      <c r="I225" s="354"/>
      <c r="J225" s="354"/>
      <c r="K225" s="354"/>
      <c r="O225" s="564"/>
    </row>
    <row r="226" spans="1:15" s="353" customFormat="1" x14ac:dyDescent="0.2">
      <c r="A226" s="354"/>
      <c r="B226" s="354"/>
      <c r="C226" s="354"/>
      <c r="D226" s="354"/>
      <c r="E226" s="354"/>
      <c r="F226" s="354"/>
      <c r="G226" s="354"/>
      <c r="I226" s="354"/>
      <c r="J226" s="354"/>
      <c r="K226" s="354"/>
      <c r="O226" s="564"/>
    </row>
    <row r="227" spans="1:15" s="353" customFormat="1" x14ac:dyDescent="0.2">
      <c r="A227" s="354"/>
      <c r="B227" s="354"/>
      <c r="C227" s="354"/>
      <c r="D227" s="354"/>
      <c r="E227" s="354"/>
      <c r="F227" s="354"/>
      <c r="G227" s="354"/>
      <c r="I227" s="354"/>
      <c r="J227" s="354"/>
      <c r="K227" s="354"/>
      <c r="O227" s="564"/>
    </row>
    <row r="228" spans="1:15" s="353" customFormat="1" x14ac:dyDescent="0.2">
      <c r="A228" s="354"/>
      <c r="B228" s="354"/>
      <c r="C228" s="354"/>
      <c r="D228" s="354"/>
      <c r="E228" s="354"/>
      <c r="F228" s="354"/>
      <c r="G228" s="354"/>
      <c r="I228" s="354"/>
      <c r="J228" s="354"/>
      <c r="K228" s="354"/>
      <c r="O228" s="564"/>
    </row>
    <row r="229" spans="1:15" s="353" customFormat="1" x14ac:dyDescent="0.2">
      <c r="A229" s="354"/>
      <c r="B229" s="354"/>
      <c r="C229" s="354"/>
      <c r="D229" s="354"/>
      <c r="E229" s="354"/>
      <c r="F229" s="354"/>
      <c r="G229" s="354"/>
      <c r="I229" s="354"/>
      <c r="J229" s="354"/>
      <c r="K229" s="354"/>
      <c r="O229" s="564"/>
    </row>
    <row r="230" spans="1:15" s="353" customFormat="1" x14ac:dyDescent="0.2">
      <c r="A230" s="354"/>
      <c r="B230" s="354"/>
      <c r="C230" s="354"/>
      <c r="D230" s="354"/>
      <c r="E230" s="354"/>
      <c r="F230" s="354"/>
      <c r="G230" s="354"/>
      <c r="I230" s="354"/>
      <c r="J230" s="354"/>
      <c r="K230" s="354"/>
      <c r="O230" s="564"/>
    </row>
    <row r="231" spans="1:15" s="353" customFormat="1" x14ac:dyDescent="0.2">
      <c r="A231" s="354"/>
      <c r="B231" s="354"/>
      <c r="C231" s="354"/>
      <c r="D231" s="354"/>
      <c r="E231" s="354"/>
      <c r="F231" s="354"/>
      <c r="G231" s="354"/>
      <c r="I231" s="354"/>
      <c r="J231" s="354"/>
      <c r="K231" s="354"/>
      <c r="O231" s="564"/>
    </row>
  </sheetData>
  <sheetProtection algorithmName="SHA-512" hashValue="W2NEnY3Ar16bqBZn8eYJQbbuX5w2BWDymdZNsXi4PDHSEuaTRuKy+rwfEpeFWlwOX79Z6ITzjbaTP+P3R/WJlA==" saltValue="M0BW2e8xnRIVeVnpO2wDdA==" spinCount="100000" sheet="1" objects="1" scenarios="1" formatColumns="0" formatRows="0" sort="0" autoFilter="0"/>
  <autoFilter ref="A41:Q57"/>
  <mergeCells count="5">
    <mergeCell ref="A69:B69"/>
    <mergeCell ref="A59:B59"/>
    <mergeCell ref="A1:G1"/>
    <mergeCell ref="D3:E3"/>
    <mergeCell ref="D4:E4"/>
  </mergeCells>
  <conditionalFormatting sqref="G41">
    <cfRule type="expression" dxfId="107" priority="36">
      <formula>OR(AND(F41&gt;0.95,F41&lt;1.05),AND(C41=0,D41=0))</formula>
    </cfRule>
  </conditionalFormatting>
  <conditionalFormatting sqref="C72:D72">
    <cfRule type="expression" dxfId="106" priority="37">
      <formula>C72="WARNING - Sum of the three tables not matching"</formula>
    </cfRule>
  </conditionalFormatting>
  <conditionalFormatting sqref="G68">
    <cfRule type="expression" dxfId="105" priority="35">
      <formula>OR(AND(F68&gt;0.95,F68&lt;1.05),F68="N/A")</formula>
    </cfRule>
  </conditionalFormatting>
  <conditionalFormatting sqref="I72:J72">
    <cfRule type="expression" dxfId="104" priority="32">
      <formula>I72="WARNING - Sum of the three tables not matching"</formula>
    </cfRule>
  </conditionalFormatting>
  <conditionalFormatting sqref="G23:G24">
    <cfRule type="expression" dxfId="103" priority="30">
      <formula>OR(AND(F23&gt;0.95,F23&lt;1.05),F23="N/A")</formula>
    </cfRule>
  </conditionalFormatting>
  <conditionalFormatting sqref="G32">
    <cfRule type="expression" dxfId="102" priority="29">
      <formula>OR(AND(F32&gt;0.95,F32&lt;1.05),F32="N/A")</formula>
    </cfRule>
  </conditionalFormatting>
  <conditionalFormatting sqref="G64 G67">
    <cfRule type="expression" dxfId="101" priority="28">
      <formula>OR(AND(F64&gt;0.95,F64&lt;1.05),F64="N/A")</formula>
    </cfRule>
  </conditionalFormatting>
  <conditionalFormatting sqref="G42:G57">
    <cfRule type="expression" dxfId="100" priority="22">
      <formula>OR(AND(F42&gt;0.95,F42&lt;1.05),F42="N/A")</formula>
    </cfRule>
  </conditionalFormatting>
  <conditionalFormatting sqref="G25">
    <cfRule type="expression" dxfId="99" priority="18">
      <formula>OR(AND(F25&gt;0.95,F25&lt;1.05),F25="N/A")</formula>
    </cfRule>
  </conditionalFormatting>
  <conditionalFormatting sqref="G8 G12 G21">
    <cfRule type="expression" dxfId="98" priority="13">
      <formula>OR(AND(F8&gt;0.95,F8&lt;1.05),F8="N/A")</formula>
    </cfRule>
  </conditionalFormatting>
  <conditionalFormatting sqref="G9:G11">
    <cfRule type="expression" dxfId="97" priority="4">
      <formula>OR(AND(F9&gt;0.95,F9&lt;1.05),F9="N/A")</formula>
    </cfRule>
  </conditionalFormatting>
  <conditionalFormatting sqref="G13:G20">
    <cfRule type="expression" dxfId="96" priority="3">
      <formula>OR(AND(F13&gt;0.95,F13&lt;1.05),F13="N/A")</formula>
    </cfRule>
  </conditionalFormatting>
  <conditionalFormatting sqref="G33:G40">
    <cfRule type="expression" dxfId="95" priority="2">
      <formula>OR(AND(F33&gt;0.95,F33&lt;1.05),F33="N/A")</formula>
    </cfRule>
  </conditionalFormatting>
  <conditionalFormatting sqref="G65:G66">
    <cfRule type="expression" dxfId="94" priority="1">
      <formula>OR(AND(F65&gt;0.95,F65&lt;1.05),F65="N/A")</formula>
    </cfRule>
  </conditionalFormatting>
  <dataValidations count="10">
    <dataValidation type="list" allowBlank="1" showInputMessage="1" showErrorMessage="1" sqref="B64:B68">
      <formula1>#REF!</formula1>
    </dataValidation>
    <dataValidation type="list" allowBlank="1" showInputMessage="1" showErrorMessage="1" sqref="A42:A57">
      <formula1>Module_List</formula1>
    </dataValidation>
    <dataValidation type="list" allowBlank="1" showInputMessage="1" showErrorMessage="1" sqref="B42:B57">
      <formula1>OFFSET(ModuleStart,MATCH(O42,ModuleColumn,0)-1,3,COUNTIF(ModuleColumn,O42),1)</formula1>
    </dataValidation>
    <dataValidation type="list" allowBlank="1" showInputMessage="1" showErrorMessage="1" sqref="A25">
      <formula1>Cost_Input</formula1>
    </dataValidation>
    <dataValidation type="decimal" allowBlank="1" showInputMessage="1" showErrorMessage="1" errorTitle="X-Author for Excel" error="Please enter a valid numeric value. Valid range for Budget for Reporting Period is -9999999999.99 to 9999999999.99." promptTitle="X-Author for Excel" sqref="C8:C21 C32:C40 C64:C67 C42:C57">
      <formula1>-9999999999.99</formula1>
      <formula2>9999999999.99</formula2>
    </dataValidation>
    <dataValidation type="decimal" allowBlank="1" showInputMessage="1" showErrorMessage="1" errorTitle="X-Author for Excel" error="Please enter a valid numeric value. Valid range for PR Actual Expenditure is -9999999999.99 to 9999999999.99." promptTitle="X-Author for Excel" sqref="D8:D21 D32:D40 D64:D67 D42:D57">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I8:I21 I32:I40 I64:I67 I42:I57">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J8:J21 J32:J40 J64:J67 J42:J57">
      <formula1>-9999999999.99</formula1>
      <formula2>9999999999.99</formula2>
    </dataValidation>
    <dataValidation type="custom" allowBlank="1" showInputMessage="1" showErrorMessage="1" errorTitle="X-Author for Excel" error="Id and Lookup fields are not editable." promptTitle="X-Author for Excel" sqref="O8:O21 O32:O40 O64:O67 Q42:Q57">
      <formula1>""</formula1>
    </dataValidation>
    <dataValidation type="decimal" allowBlank="1" showInputMessage="1" showErrorMessage="1" errorTitle="X-Author for Excel" error="Please enter a valid numeric value. Valid range for Cost Grouping Number is -99999 to 99999." promptTitle="X-Author for Excel" sqref="P8:P21">
      <formula1>-99999</formula1>
      <formula2>99999</formula2>
    </dataValidation>
  </dataValidations>
  <printOptions horizontalCentered="1"/>
  <pageMargins left="0.25" right="0.25" top="0.75" bottom="0.75" header="0.3" footer="0.3"/>
  <pageSetup paperSize="9" scale="36"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31" id="{DCB85AFE-B48A-420D-A0B8-0812905252C9}">
            <xm:f>CoverSheet!$D$11="EUR"</xm:f>
            <x14:dxf>
              <numFmt numFmtId="188" formatCode="[$€-2]\ #,##0;[Red]\-[$€-2]\ #,##0"/>
            </x14:dxf>
          </x14:cfRule>
          <xm:sqref>C42:C57 C23:E24 C27:E27 I23:K24 I27:K27 C32:E32 I32:K32 C64:E64 I64:K64 C41:E41 C33:C40 E33:E40 C68:E69 C65:C67 E65:E67 I41:K41 I33:I40 K33:K40 I68:K69 I65:I67 K65:K67</xm:sqref>
        </x14:conditionalFormatting>
        <x14:conditionalFormatting xmlns:xm="http://schemas.microsoft.com/office/excel/2006/main">
          <x14:cfRule type="expression" priority="27" id="{2665DD1E-7E8B-4F11-9D40-3F4BD132EF7C}">
            <xm:f>CoverSheet!$D$11="EUR"</xm:f>
            <x14:dxf>
              <numFmt numFmtId="188" formatCode="[$€-2]\ #,##0;[Red]\-[$€-2]\ #,##0"/>
            </x14:dxf>
          </x14:cfRule>
          <xm:sqref>C59:H59</xm:sqref>
        </x14:conditionalFormatting>
        <x14:conditionalFormatting xmlns:xm="http://schemas.microsoft.com/office/excel/2006/main">
          <x14:cfRule type="expression" priority="26" id="{7B2AC184-9962-416E-8AC8-AC769179026A}">
            <xm:f>CoverSheet!$D$11="EUR"</xm:f>
            <x14:dxf>
              <numFmt numFmtId="188" formatCode="[$€-2]\ #,##0;[Red]\-[$€-2]\ #,##0"/>
            </x14:dxf>
          </x14:cfRule>
          <xm:sqref>I59:K59</xm:sqref>
        </x14:conditionalFormatting>
        <x14:conditionalFormatting xmlns:xm="http://schemas.microsoft.com/office/excel/2006/main">
          <x14:cfRule type="expression" priority="25" id="{B3CE2EC6-00A7-4A38-AC4E-37ACA221AAD6}">
            <xm:f>CoverSheet!$D$11="EUR"</xm:f>
            <x14:dxf>
              <numFmt numFmtId="188" formatCode="[$€-2]\ #,##0;[Red]\-[$€-2]\ #,##0"/>
            </x14:dxf>
          </x14:cfRule>
          <xm:sqref>H42:I57 E42:F57 K42:L57</xm:sqref>
        </x14:conditionalFormatting>
        <x14:conditionalFormatting xmlns:xm="http://schemas.microsoft.com/office/excel/2006/main">
          <x14:cfRule type="expression" priority="24" id="{1C6A0A3B-D011-4E48-A561-2E060E312E48}">
            <xm:f>CoverSheet!$D$11="EUR"</xm:f>
            <x14:dxf>
              <numFmt numFmtId="188" formatCode="[$€-2]\ #,##0;[Red]\-[$€-2]\ #,##0"/>
            </x14:dxf>
          </x14:cfRule>
          <xm:sqref>D42:D57</xm:sqref>
        </x14:conditionalFormatting>
        <x14:conditionalFormatting xmlns:xm="http://schemas.microsoft.com/office/excel/2006/main">
          <x14:cfRule type="expression" priority="23" id="{462C6318-6CAF-46E2-BF54-BD7A7672A2C5}">
            <xm:f>CoverSheet!$D$11="EUR"</xm:f>
            <x14:dxf>
              <numFmt numFmtId="188" formatCode="[$€-2]\ #,##0;[Red]\-[$€-2]\ #,##0"/>
            </x14:dxf>
          </x14:cfRule>
          <xm:sqref>J42:J57</xm:sqref>
        </x14:conditionalFormatting>
        <x14:conditionalFormatting xmlns:xm="http://schemas.microsoft.com/office/excel/2006/main">
          <x14:cfRule type="expression" priority="17" id="{96CF982E-4441-4B60-BA88-52147BD2559A}">
            <xm:f>CoverSheet!$D$11="EUR"</xm:f>
            <x14:dxf>
              <numFmt numFmtId="188" formatCode="[$€-2]\ #,##0;[Red]\-[$€-2]\ #,##0"/>
            </x14:dxf>
          </x14:cfRule>
          <xm:sqref>E25</xm:sqref>
        </x14:conditionalFormatting>
        <x14:conditionalFormatting xmlns:xm="http://schemas.microsoft.com/office/excel/2006/main">
          <x14:cfRule type="expression" priority="19" id="{9E978640-50DB-4C85-92D6-C3A7D900E49A}">
            <xm:f>CoverSheet!$D$11="EUR"</xm:f>
            <x14:dxf>
              <numFmt numFmtId="188" formatCode="[$€-2]\ #,##0;[Red]\-[$€-2]\ #,##0"/>
            </x14:dxf>
          </x14:cfRule>
          <xm:sqref>I25:J25 D25</xm:sqref>
        </x14:conditionalFormatting>
        <x14:conditionalFormatting xmlns:xm="http://schemas.microsoft.com/office/excel/2006/main">
          <x14:cfRule type="expression" priority="16" id="{D5376C26-539D-4404-BD05-C67617841A09}">
            <xm:f>CoverSheet!$D$11="EUR"</xm:f>
            <x14:dxf>
              <numFmt numFmtId="188" formatCode="[$€-2]\ #,##0;[Red]\-[$€-2]\ #,##0"/>
            </x14:dxf>
          </x14:cfRule>
          <xm:sqref>K25</xm:sqref>
        </x14:conditionalFormatting>
        <x14:conditionalFormatting xmlns:xm="http://schemas.microsoft.com/office/excel/2006/main">
          <x14:cfRule type="expression" priority="15" id="{5EAAE121-6898-498E-B4ED-0876615BC091}">
            <xm:f>CoverSheet!$D$11="EUR"</xm:f>
            <x14:dxf>
              <numFmt numFmtId="188" formatCode="[$€-2]\ #,##0;[Red]\-[$€-2]\ #,##0"/>
            </x14:dxf>
          </x14:cfRule>
          <xm:sqref>C25</xm:sqref>
        </x14:conditionalFormatting>
        <x14:conditionalFormatting xmlns:xm="http://schemas.microsoft.com/office/excel/2006/main">
          <x14:cfRule type="expression" priority="14" id="{EA107971-B90A-4652-B8EF-71DFE3A38D65}">
            <xm:f>CoverSheet!$D$11="EUR"</xm:f>
            <x14:dxf>
              <numFmt numFmtId="188" formatCode="[$€-2]\ #,##0;[Red]\-[$€-2]\ #,##0"/>
            </x14:dxf>
          </x14:cfRule>
          <xm:sqref>C8:D8 I8:J8 C9:C21 I9:I21</xm:sqref>
        </x14:conditionalFormatting>
        <x14:conditionalFormatting xmlns:xm="http://schemas.microsoft.com/office/excel/2006/main">
          <x14:cfRule type="expression" priority="12" id="{D5ADC0D6-BE64-4F8A-98CB-8DB02D4F2483}">
            <xm:f>CoverSheet!$D$11="EUR"</xm:f>
            <x14:dxf>
              <numFmt numFmtId="188" formatCode="[$€-2]\ #,##0;[Red]\-[$€-2]\ #,##0"/>
            </x14:dxf>
          </x14:cfRule>
          <xm:sqref>E8:E21</xm:sqref>
        </x14:conditionalFormatting>
        <x14:conditionalFormatting xmlns:xm="http://schemas.microsoft.com/office/excel/2006/main">
          <x14:cfRule type="expression" priority="11" id="{303CF486-DDEC-4521-9C20-7D68536A4953}">
            <xm:f>CoverSheet!$D$11="EUR"</xm:f>
            <x14:dxf>
              <numFmt numFmtId="188" formatCode="[$€-2]\ #,##0;[Red]\-[$€-2]\ #,##0"/>
            </x14:dxf>
          </x14:cfRule>
          <xm:sqref>K8:K21</xm:sqref>
        </x14:conditionalFormatting>
        <x14:conditionalFormatting xmlns:xm="http://schemas.microsoft.com/office/excel/2006/main">
          <x14:cfRule type="expression" priority="10" id="{1E862FC6-BC30-4314-BB38-29501703A345}">
            <xm:f>'\NCDC\Documents\PUDR TB\[GEO-T-NCDC_Progress Report Disbursement_31Dec2017_v2.xlsx]CoverSheet'!#REF!="EUR"</xm:f>
            <x14:dxf>
              <numFmt numFmtId="188" formatCode="[$€-2]\ #,##0;[Red]\-[$€-2]\ #,##0"/>
            </x14:dxf>
          </x14:cfRule>
          <xm:sqref>D9:D21</xm:sqref>
        </x14:conditionalFormatting>
        <x14:conditionalFormatting xmlns:xm="http://schemas.microsoft.com/office/excel/2006/main">
          <x14:cfRule type="expression" priority="9" id="{98DEA917-C0DB-4C13-AD07-0EECBF7CCD52}">
            <xm:f>'\NCDC\Documents\PUDR TB\[GEO-T-NCDC_Progress Report Disbursement_31Dec2017_v2.xlsx]CoverSheet'!#REF!="EUR"</xm:f>
            <x14:dxf>
              <numFmt numFmtId="188" formatCode="[$€-2]\ #,##0;[Red]\-[$€-2]\ #,##0"/>
            </x14:dxf>
          </x14:cfRule>
          <xm:sqref>D33:D40</xm:sqref>
        </x14:conditionalFormatting>
        <x14:conditionalFormatting xmlns:xm="http://schemas.microsoft.com/office/excel/2006/main">
          <x14:cfRule type="expression" priority="8" id="{5906B713-D01A-40D3-B840-B52DD7B17880}">
            <xm:f>'\NCDC\Documents\PUDR TB\[GEO-T-NCDC_Progress Report Disbursement_31Dec2017_v2.xlsx]CoverSheet'!#REF!="EUR"</xm:f>
            <x14:dxf>
              <numFmt numFmtId="188" formatCode="[$€-2]\ #,##0;[Red]\-[$€-2]\ #,##0"/>
            </x14:dxf>
          </x14:cfRule>
          <xm:sqref>D65:D67</xm:sqref>
        </x14:conditionalFormatting>
        <x14:conditionalFormatting xmlns:xm="http://schemas.microsoft.com/office/excel/2006/main">
          <x14:cfRule type="expression" priority="7" id="{275027C8-BC19-4ADE-9D63-466B2DBD28A9}">
            <xm:f>'\NCDC\Documents\PUDR TB\[GEO-T-NCDC_Progress Report Disbursement_31Dec2017_v2.xlsx]CoverSheet'!#REF!="EUR"</xm:f>
            <x14:dxf>
              <numFmt numFmtId="188" formatCode="[$€-2]\ #,##0;[Red]\-[$€-2]\ #,##0"/>
            </x14:dxf>
          </x14:cfRule>
          <xm:sqref>J9:J21</xm:sqref>
        </x14:conditionalFormatting>
        <x14:conditionalFormatting xmlns:xm="http://schemas.microsoft.com/office/excel/2006/main">
          <x14:cfRule type="expression" priority="6" id="{6E777F58-1CAF-4958-8D67-8F2EDCAC8CB9}">
            <xm:f>'\NCDC\Documents\PUDR TB\[GEO-T-NCDC_Progress Report Disbursement_31Dec2017_v2.xlsx]CoverSheet'!#REF!="EUR"</xm:f>
            <x14:dxf>
              <numFmt numFmtId="188" formatCode="[$€-2]\ #,##0;[Red]\-[$€-2]\ #,##0"/>
            </x14:dxf>
          </x14:cfRule>
          <xm:sqref>J33:J40</xm:sqref>
        </x14:conditionalFormatting>
        <x14:conditionalFormatting xmlns:xm="http://schemas.microsoft.com/office/excel/2006/main">
          <x14:cfRule type="expression" priority="5" id="{15577626-035F-4F53-AFCF-63AA6E97A880}">
            <xm:f>'\NCDC\Documents\PUDR TB\[GEO-T-NCDC_Progress Report Disbursement_31Dec2017_v2.xlsx]CoverSheet'!#REF!="EUR"</xm:f>
            <x14:dxf>
              <numFmt numFmtId="188" formatCode="[$€-2]\ #,##0;[Red]\-[$€-2]\ #,##0"/>
            </x14:dxf>
          </x14:cfRule>
          <xm:sqref>J65:J67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79998168889431442"/>
  </sheetPr>
  <dimension ref="B4:L173"/>
  <sheetViews>
    <sheetView workbookViewId="0">
      <selection activeCell="G33" sqref="G33"/>
    </sheetView>
  </sheetViews>
  <sheetFormatPr defaultRowHeight="12.75" x14ac:dyDescent="0.2"/>
  <cols>
    <col min="2" max="2" width="16.85546875" customWidth="1"/>
    <col min="3" max="3" width="11.140625" customWidth="1"/>
    <col min="4" max="4" width="47.42578125" customWidth="1"/>
    <col min="5" max="5" width="27.140625" customWidth="1"/>
    <col min="6" max="10" width="11.140625" customWidth="1"/>
    <col min="11" max="11" width="12" customWidth="1"/>
  </cols>
  <sheetData>
    <row r="4" spans="2:11" x14ac:dyDescent="0.2">
      <c r="B4" s="971" t="s">
        <v>564</v>
      </c>
    </row>
    <row r="5" spans="2:11" x14ac:dyDescent="0.2">
      <c r="B5" s="1324" t="s">
        <v>566</v>
      </c>
      <c r="C5" s="1324"/>
      <c r="D5" s="1324" t="s">
        <v>568</v>
      </c>
    </row>
    <row r="6" spans="2:11" hidden="1" x14ac:dyDescent="0.2">
      <c r="B6" s="1325" t="s">
        <v>565</v>
      </c>
      <c r="C6" s="1324"/>
      <c r="D6" s="1324" t="s">
        <v>567</v>
      </c>
    </row>
    <row r="7" spans="2:11" s="1050" customFormat="1" x14ac:dyDescent="0.2">
      <c r="B7" s="1325" t="s">
        <v>965</v>
      </c>
      <c r="C7" s="1324"/>
      <c r="D7" s="1324" t="s">
        <v>965</v>
      </c>
    </row>
    <row r="10" spans="2:11" x14ac:dyDescent="0.2">
      <c r="B10" s="971" t="s">
        <v>557</v>
      </c>
    </row>
    <row r="11" spans="2:11" x14ac:dyDescent="0.2">
      <c r="B11" s="1326" t="s">
        <v>336</v>
      </c>
      <c r="C11" s="1326" t="s">
        <v>569</v>
      </c>
      <c r="D11" s="1326" t="s">
        <v>560</v>
      </c>
      <c r="E11" s="1326" t="s">
        <v>570</v>
      </c>
      <c r="F11" s="1326" t="s">
        <v>571</v>
      </c>
      <c r="G11" s="1326" t="s">
        <v>572</v>
      </c>
      <c r="H11" s="1326" t="s">
        <v>573</v>
      </c>
      <c r="I11" s="1326" t="s">
        <v>575</v>
      </c>
      <c r="J11" s="1326" t="s">
        <v>576</v>
      </c>
      <c r="K11" s="1326" t="s">
        <v>356</v>
      </c>
    </row>
    <row r="12" spans="2:11" hidden="1" x14ac:dyDescent="0.2">
      <c r="B12" s="1327" t="s">
        <v>273</v>
      </c>
      <c r="C12" s="1326"/>
      <c r="D12" s="1326" t="s">
        <v>559</v>
      </c>
      <c r="E12" s="1326"/>
      <c r="F12" s="1326"/>
      <c r="G12" s="1326"/>
      <c r="H12" s="1326"/>
      <c r="I12" s="1326" t="str">
        <f t="array" ref="I12">IFERROR(INDEX($D$12:$D$25, MATCH(0, COUNTIF($I$11:I11, $D$12:$D$25&amp;"") + IF($D$12:$D$25="",1,0), 0)), "")</f>
        <v>[Module-Coverage-Intervention Reference (Name)]</v>
      </c>
      <c r="J12" s="1326" t="str">
        <f t="array" ref="J12">IFERROR(IF(INDEX($B$12:$B$25,MATCH(LEFT(I12,255),LEFT($D$12:$D$25,255),0))=0,"",INDEX($B$12:$B$25,MATCH(LEFT(I12,255),LEFT($D$12:$D$25,255),0))),"")</f>
        <v>[Name]</v>
      </c>
      <c r="K12" s="1326" t="s">
        <v>355</v>
      </c>
    </row>
    <row r="13" spans="2:11" s="1050" customFormat="1" x14ac:dyDescent="0.2">
      <c r="B13" s="1327" t="s">
        <v>1178</v>
      </c>
      <c r="C13" s="1326"/>
      <c r="D13" s="1326" t="s">
        <v>1179</v>
      </c>
      <c r="E13" s="1326"/>
      <c r="F13" s="1326"/>
      <c r="G13" s="1326"/>
      <c r="H13" s="1326"/>
      <c r="I13" s="1326" t="str">
        <f t="array" ref="I13">IFERROR(INDEX($D$12:$D$25, MATCH(0, COUNTIF($I$11:I12, $D$12:$D$25&amp;"") + IF($D$12:$D$25="",1,0), 0)), "")</f>
        <v>MCI-00008</v>
      </c>
      <c r="J13" s="1326" t="str">
        <f t="array" ref="J13">IFERROR(IF(INDEX($B$12:$B$25,MATCH(LEFT(I13,255),LEFT($D$12:$D$25,255),0))=0,"",INDEX($B$12:$B$25,MATCH(LEFT(I13,255),LEFT($D$12:$D$25,255),0))),"")</f>
        <v>TB care and prevention</v>
      </c>
      <c r="K13" s="1326" t="s">
        <v>1180</v>
      </c>
    </row>
    <row r="14" spans="2:11" s="1050" customFormat="1" x14ac:dyDescent="0.2">
      <c r="B14" s="1327" t="s">
        <v>1181</v>
      </c>
      <c r="C14" s="1326"/>
      <c r="D14" s="1326" t="s">
        <v>1182</v>
      </c>
      <c r="E14" s="1326"/>
      <c r="F14" s="1326"/>
      <c r="G14" s="1326"/>
      <c r="H14" s="1326"/>
      <c r="I14" s="1326" t="str">
        <f t="array" ref="I14">IFERROR(INDEX($D$12:$D$25, MATCH(0, COUNTIF($I$11:I13, $D$12:$D$25&amp;"") + IF($D$12:$D$25="",1,0), 0)), "")</f>
        <v>MCI-00009</v>
      </c>
      <c r="J14" s="1326" t="str">
        <f t="array" ref="J14">IFERROR(IF(INDEX($B$12:$B$25,MATCH(LEFT(I14,255),LEFT($D$12:$D$25,255),0))=0,"",INDEX($B$12:$B$25,MATCH(LEFT(I14,255),LEFT($D$12:$D$25,255),0))),"")</f>
        <v>TB/HIV</v>
      </c>
      <c r="K14" s="1326" t="s">
        <v>1183</v>
      </c>
    </row>
    <row r="15" spans="2:11" s="1050" customFormat="1" x14ac:dyDescent="0.2">
      <c r="B15" s="1327" t="s">
        <v>989</v>
      </c>
      <c r="C15" s="1326"/>
      <c r="D15" s="1326" t="s">
        <v>1184</v>
      </c>
      <c r="E15" s="1326"/>
      <c r="F15" s="1326"/>
      <c r="G15" s="1326"/>
      <c r="H15" s="1326"/>
      <c r="I15" s="1326" t="str">
        <f t="array" ref="I15">IFERROR(INDEX($D$12:$D$25, MATCH(0, COUNTIF($I$11:I14, $D$12:$D$25&amp;"") + IF($D$12:$D$25="",1,0), 0)), "")</f>
        <v>MCI-00010</v>
      </c>
      <c r="J15" s="1326" t="str">
        <f t="array" ref="J15">IFERROR(IF(INDEX($B$12:$B$25,MATCH(LEFT(I15,255),LEFT($D$12:$D$25,255),0))=0,"",INDEX($B$12:$B$25,MATCH(LEFT(I15,255),LEFT($D$12:$D$25,255),0))),"")</f>
        <v>MDR-TB</v>
      </c>
      <c r="K15" s="1326" t="s">
        <v>1185</v>
      </c>
    </row>
    <row r="16" spans="2:11" s="1050" customFormat="1" x14ac:dyDescent="0.2">
      <c r="B16" s="1327" t="s">
        <v>1075</v>
      </c>
      <c r="C16" s="1326"/>
      <c r="D16" s="1326" t="s">
        <v>1186</v>
      </c>
      <c r="E16" s="1326"/>
      <c r="F16" s="1326"/>
      <c r="G16" s="1326"/>
      <c r="H16" s="1326"/>
      <c r="I16" s="1326" t="str">
        <f t="array" ref="I16">IFERROR(INDEX($D$12:$D$25, MATCH(0, COUNTIF($I$11:I15, $D$12:$D$25&amp;"") + IF($D$12:$D$25="",1,0), 0)), "")</f>
        <v>MCI-00014</v>
      </c>
      <c r="J16" s="1326" t="str">
        <f t="array" ref="J16">IFERROR(IF(INDEX($B$12:$B$25,MATCH(LEFT(I16,255),LEFT($D$12:$D$25,255),0))=0,"",INDEX($B$12:$B$25,MATCH(LEFT(I16,255),LEFT($D$12:$D$25,255),0))),"")</f>
        <v>RSSH: Integrated service delivery and quality improvement</v>
      </c>
      <c r="K16" s="1326" t="s">
        <v>1187</v>
      </c>
    </row>
    <row r="17" spans="2:12" s="1050" customFormat="1" x14ac:dyDescent="0.2">
      <c r="B17" s="1327" t="s">
        <v>1188</v>
      </c>
      <c r="C17" s="1326"/>
      <c r="D17" s="1326" t="s">
        <v>1189</v>
      </c>
      <c r="E17" s="1326"/>
      <c r="F17" s="1326"/>
      <c r="G17" s="1326"/>
      <c r="H17" s="1326"/>
      <c r="I17" s="1326" t="str">
        <f t="array" ref="I17">IFERROR(INDEX($D$12:$D$25, MATCH(0, COUNTIF($I$11:I16, $D$12:$D$25&amp;"") + IF($D$12:$D$25="",1,0), 0)), "")</f>
        <v>MCI-00015</v>
      </c>
      <c r="J17" s="1326" t="str">
        <f t="array" ref="J17">IFERROR(IF(INDEX($B$12:$B$25,MATCH(LEFT(I17,255),LEFT($D$12:$D$25,255),0))=0,"",INDEX($B$12:$B$25,MATCH(LEFT(I17,255),LEFT($D$12:$D$25,255),0))),"")</f>
        <v>RSSH: Human resources for health (HRH), including community health workers</v>
      </c>
      <c r="K17" s="1326" t="s">
        <v>1190</v>
      </c>
    </row>
    <row r="18" spans="2:12" s="1050" customFormat="1" x14ac:dyDescent="0.2">
      <c r="B18" s="1327" t="s">
        <v>1191</v>
      </c>
      <c r="C18" s="1326"/>
      <c r="D18" s="1326" t="s">
        <v>1192</v>
      </c>
      <c r="E18" s="1326"/>
      <c r="F18" s="1326"/>
      <c r="G18" s="1326"/>
      <c r="H18" s="1326"/>
      <c r="I18" s="1326" t="str">
        <f t="array" ref="I18">IFERROR(INDEX($D$12:$D$25, MATCH(0, COUNTIF($I$11:I17, $D$12:$D$25&amp;"") + IF($D$12:$D$25="",1,0), 0)), "")</f>
        <v>MCI-00016</v>
      </c>
      <c r="J18" s="1326" t="str">
        <f t="array" ref="J18">IFERROR(IF(INDEX($B$12:$B$25,MATCH(LEFT(I18,255),LEFT($D$12:$D$25,255),0))=0,"",INDEX($B$12:$B$25,MATCH(LEFT(I18,255),LEFT($D$12:$D$25,255),0))),"")</f>
        <v>RSSH: Procurement and supply chain management systems</v>
      </c>
      <c r="K18" s="1326" t="s">
        <v>1193</v>
      </c>
    </row>
    <row r="19" spans="2:12" s="1050" customFormat="1" x14ac:dyDescent="0.2">
      <c r="B19" s="1327" t="s">
        <v>1194</v>
      </c>
      <c r="C19" s="1326"/>
      <c r="D19" s="1326" t="s">
        <v>1195</v>
      </c>
      <c r="E19" s="1326"/>
      <c r="F19" s="1326"/>
      <c r="G19" s="1326"/>
      <c r="H19" s="1326"/>
      <c r="I19" s="1326" t="str">
        <f t="array" ref="I19">IFERROR(INDEX($D$12:$D$25, MATCH(0, COUNTIF($I$11:I18, $D$12:$D$25&amp;"") + IF($D$12:$D$25="",1,0), 0)), "")</f>
        <v>MCI-00019</v>
      </c>
      <c r="J19" s="1326" t="str">
        <f t="array" ref="J19">IFERROR(IF(INDEX($B$12:$B$25,MATCH(LEFT(I19,255),LEFT($D$12:$D$25,255),0))=0,"",INDEX($B$12:$B$25,MATCH(LEFT(I19,255),LEFT($D$12:$D$25,255),0))),"")</f>
        <v>RSSH: Financial management systems</v>
      </c>
      <c r="K19" s="1326" t="s">
        <v>1196</v>
      </c>
    </row>
    <row r="20" spans="2:12" s="1050" customFormat="1" x14ac:dyDescent="0.2">
      <c r="B20" s="1327" t="s">
        <v>1012</v>
      </c>
      <c r="C20" s="1326"/>
      <c r="D20" s="1326" t="s">
        <v>1197</v>
      </c>
      <c r="E20" s="1326"/>
      <c r="F20" s="1326"/>
      <c r="G20" s="1326"/>
      <c r="H20" s="1326"/>
      <c r="I20" s="1326" t="str">
        <f t="array" ref="I20">IFERROR(INDEX($D$12:$D$25, MATCH(0, COUNTIF($I$11:I19, $D$12:$D$25&amp;"") + IF($D$12:$D$25="",1,0), 0)), "")</f>
        <v>MCI-00021</v>
      </c>
      <c r="J20" s="1326" t="str">
        <f t="array" ref="J20">IFERROR(IF(INDEX($B$12:$B$25,MATCH(LEFT(I20,255),LEFT($D$12:$D$25,255),0))=0,"",INDEX($B$12:$B$25,MATCH(LEFT(I20,255),LEFT($D$12:$D$25,255),0))),"")</f>
        <v>RSSH: Community responses and systems</v>
      </c>
      <c r="K20" s="1326" t="s">
        <v>1198</v>
      </c>
    </row>
    <row r="21" spans="2:12" s="1050" customFormat="1" x14ac:dyDescent="0.2">
      <c r="B21" s="1327" t="s">
        <v>1072</v>
      </c>
      <c r="C21" s="1326"/>
      <c r="D21" s="1326" t="s">
        <v>1199</v>
      </c>
      <c r="E21" s="1326"/>
      <c r="F21" s="1326"/>
      <c r="G21" s="1326"/>
      <c r="H21" s="1326"/>
      <c r="I21" s="1326" t="str">
        <f t="array" ref="I21">IFERROR(INDEX($D$12:$D$25, MATCH(0, COUNTIF($I$11:I20, $D$12:$D$25&amp;"") + IF($D$12:$D$25="",1,0), 0)), "")</f>
        <v>MCI-00022</v>
      </c>
      <c r="J21" s="1326" t="str">
        <f t="array" ref="J21">IFERROR(IF(INDEX($B$12:$B$25,MATCH(LEFT(I21,255),LEFT($D$12:$D$25,255),0))=0,"",INDEX($B$12:$B$25,MATCH(LEFT(I21,255),LEFT($D$12:$D$25,255),0))),"")</f>
        <v>RSSH: Health management information systems and M&amp;E</v>
      </c>
      <c r="K21" s="1326" t="s">
        <v>1200</v>
      </c>
    </row>
    <row r="22" spans="2:12" s="1050" customFormat="1" x14ac:dyDescent="0.2">
      <c r="B22" s="1327" t="s">
        <v>1081</v>
      </c>
      <c r="C22" s="1326"/>
      <c r="D22" s="1326" t="s">
        <v>1201</v>
      </c>
      <c r="E22" s="1326"/>
      <c r="F22" s="1326"/>
      <c r="G22" s="1326"/>
      <c r="H22" s="1326"/>
      <c r="I22" s="1326" t="str">
        <f t="array" ref="I22">IFERROR(INDEX($D$12:$D$25, MATCH(0, COUNTIF($I$11:I21, $D$12:$D$25&amp;"") + IF($D$12:$D$25="",1,0), 0)), "")</f>
        <v>MCI-00023</v>
      </c>
      <c r="J22" s="1326" t="str">
        <f t="array" ref="J22">IFERROR(IF(INDEX($B$12:$B$25,MATCH(LEFT(I22,255),LEFT($D$12:$D$25,255),0))=0,"",INDEX($B$12:$B$25,MATCH(LEFT(I22,255),LEFT($D$12:$D$25,255),0))),"")</f>
        <v>Program management</v>
      </c>
      <c r="K22" s="1326" t="s">
        <v>1202</v>
      </c>
    </row>
    <row r="23" spans="2:12" s="1050" customFormat="1" x14ac:dyDescent="0.2">
      <c r="B23" s="1327" t="s">
        <v>1070</v>
      </c>
      <c r="C23" s="1326"/>
      <c r="D23" s="1326" t="s">
        <v>1203</v>
      </c>
      <c r="E23" s="1326"/>
      <c r="F23" s="1326"/>
      <c r="G23" s="1326"/>
      <c r="H23" s="1326"/>
      <c r="I23" s="1326" t="str">
        <f t="array" ref="I23">IFERROR(INDEX($D$12:$D$25, MATCH(0, COUNTIF($I$11:I22, $D$12:$D$25&amp;"") + IF($D$12:$D$25="",1,0), 0)), "")</f>
        <v>MCI-00024</v>
      </c>
      <c r="J23" s="1326" t="str">
        <f t="array" ref="J23">IFERROR(IF(INDEX($B$12:$B$25,MATCH(LEFT(I23,255),LEFT($D$12:$D$25,255),0))=0,"",INDEX($B$12:$B$25,MATCH(LEFT(I23,255),LEFT($D$12:$D$25,255),0))),"")</f>
        <v>Payment for results</v>
      </c>
      <c r="K23" s="1326" t="s">
        <v>1204</v>
      </c>
    </row>
    <row r="24" spans="2:12" s="1050" customFormat="1" x14ac:dyDescent="0.2">
      <c r="B24" s="1327" t="s">
        <v>1205</v>
      </c>
      <c r="C24" s="1326"/>
      <c r="D24" s="1326" t="s">
        <v>1206</v>
      </c>
      <c r="E24" s="1326"/>
      <c r="F24" s="1326"/>
      <c r="G24" s="1326"/>
      <c r="H24" s="1326"/>
      <c r="I24" s="1326" t="str">
        <f t="array" ref="I24">IFERROR(INDEX($D$12:$D$25, MATCH(0, COUNTIF($I$11:I23, $D$12:$D$25&amp;"") + IF($D$12:$D$25="",1,0), 0)), "")</f>
        <v>MCI-00536</v>
      </c>
      <c r="J24" s="1326" t="str">
        <f t="array" ref="J24">IFERROR(IF(INDEX($B$12:$B$25,MATCH(LEFT(I24,255),LEFT($D$12:$D$25,255),0))=0,"",INDEX($B$12:$B$25,MATCH(LEFT(I24,255),LEFT($D$12:$D$25,255),0))),"")</f>
        <v>RSSH: National health strategies</v>
      </c>
      <c r="K24" s="1326" t="s">
        <v>1207</v>
      </c>
    </row>
    <row r="28" spans="2:12" x14ac:dyDescent="0.2">
      <c r="B28" s="971" t="s">
        <v>558</v>
      </c>
    </row>
    <row r="29" spans="2:12" x14ac:dyDescent="0.2">
      <c r="B29" s="1324" t="s">
        <v>69</v>
      </c>
      <c r="C29" s="1324" t="s">
        <v>569</v>
      </c>
      <c r="D29" s="1324" t="s">
        <v>563</v>
      </c>
      <c r="E29" s="1328" t="s">
        <v>519</v>
      </c>
      <c r="F29" s="1324" t="s">
        <v>570</v>
      </c>
      <c r="G29" s="1324" t="s">
        <v>573</v>
      </c>
      <c r="H29" s="1324" t="s">
        <v>574</v>
      </c>
      <c r="I29" s="1324" t="s">
        <v>572</v>
      </c>
      <c r="J29" s="1324" t="s">
        <v>571</v>
      </c>
      <c r="K29" s="1324" t="s">
        <v>356</v>
      </c>
      <c r="L29" t="s">
        <v>578</v>
      </c>
    </row>
    <row r="30" spans="2:12" hidden="1" x14ac:dyDescent="0.2">
      <c r="B30" s="1324" t="s">
        <v>561</v>
      </c>
      <c r="C30" s="1324"/>
      <c r="D30" s="1325" t="s">
        <v>562</v>
      </c>
      <c r="E30" s="1325" t="s">
        <v>273</v>
      </c>
      <c r="F30" s="1324"/>
      <c r="G30" s="1324"/>
      <c r="H30" s="1324"/>
      <c r="I30" s="1324"/>
      <c r="J30" s="1324"/>
      <c r="K30" s="1324" t="s">
        <v>355</v>
      </c>
    </row>
    <row r="31" spans="2:12" s="1050" customFormat="1" x14ac:dyDescent="0.2">
      <c r="B31" s="1324" t="s">
        <v>1179</v>
      </c>
      <c r="C31" s="1324"/>
      <c r="D31" s="1325" t="s">
        <v>1208</v>
      </c>
      <c r="E31" s="1325" t="s">
        <v>1209</v>
      </c>
      <c r="F31" s="1324"/>
      <c r="G31" s="1324"/>
      <c r="H31" s="1324"/>
      <c r="I31" s="1324"/>
      <c r="J31" s="1324"/>
      <c r="K31" s="1324" t="s">
        <v>1210</v>
      </c>
    </row>
    <row r="32" spans="2:12" s="1050" customFormat="1" x14ac:dyDescent="0.2">
      <c r="B32" s="1324" t="s">
        <v>1179</v>
      </c>
      <c r="C32" s="1324"/>
      <c r="D32" s="1325" t="s">
        <v>1211</v>
      </c>
      <c r="E32" s="1325" t="s">
        <v>1212</v>
      </c>
      <c r="F32" s="1324"/>
      <c r="G32" s="1324"/>
      <c r="H32" s="1324"/>
      <c r="I32" s="1324"/>
      <c r="J32" s="1324"/>
      <c r="K32" s="1324" t="s">
        <v>1213</v>
      </c>
    </row>
    <row r="33" spans="2:11" s="1050" customFormat="1" x14ac:dyDescent="0.2">
      <c r="B33" s="1324" t="s">
        <v>1179</v>
      </c>
      <c r="C33" s="1324"/>
      <c r="D33" s="1325" t="s">
        <v>1214</v>
      </c>
      <c r="E33" s="1325" t="s">
        <v>1215</v>
      </c>
      <c r="F33" s="1324"/>
      <c r="G33" s="1324"/>
      <c r="H33" s="1324"/>
      <c r="I33" s="1324"/>
      <c r="J33" s="1324"/>
      <c r="K33" s="1324" t="s">
        <v>1216</v>
      </c>
    </row>
    <row r="34" spans="2:11" s="1050" customFormat="1" x14ac:dyDescent="0.2">
      <c r="B34" s="1324" t="s">
        <v>1179</v>
      </c>
      <c r="C34" s="1324"/>
      <c r="D34" s="1325" t="s">
        <v>1217</v>
      </c>
      <c r="E34" s="1325" t="s">
        <v>1218</v>
      </c>
      <c r="F34" s="1324"/>
      <c r="G34" s="1324"/>
      <c r="H34" s="1324"/>
      <c r="I34" s="1324"/>
      <c r="J34" s="1324"/>
      <c r="K34" s="1324" t="s">
        <v>1219</v>
      </c>
    </row>
    <row r="35" spans="2:11" s="1050" customFormat="1" x14ac:dyDescent="0.2">
      <c r="B35" s="1324" t="s">
        <v>1179</v>
      </c>
      <c r="C35" s="1324"/>
      <c r="D35" s="1325" t="s">
        <v>1220</v>
      </c>
      <c r="E35" s="1325" t="s">
        <v>1221</v>
      </c>
      <c r="F35" s="1324"/>
      <c r="G35" s="1324"/>
      <c r="H35" s="1324"/>
      <c r="I35" s="1324"/>
      <c r="J35" s="1324"/>
      <c r="K35" s="1324" t="s">
        <v>1222</v>
      </c>
    </row>
    <row r="36" spans="2:11" s="1050" customFormat="1" x14ac:dyDescent="0.2">
      <c r="B36" s="1324" t="s">
        <v>1179</v>
      </c>
      <c r="C36" s="1324"/>
      <c r="D36" s="1325" t="s">
        <v>1223</v>
      </c>
      <c r="E36" s="1325" t="s">
        <v>1224</v>
      </c>
      <c r="F36" s="1324"/>
      <c r="G36" s="1324"/>
      <c r="H36" s="1324"/>
      <c r="I36" s="1324"/>
      <c r="J36" s="1324"/>
      <c r="K36" s="1324" t="s">
        <v>1225</v>
      </c>
    </row>
    <row r="37" spans="2:11" s="1050" customFormat="1" x14ac:dyDescent="0.2">
      <c r="B37" s="1324" t="s">
        <v>1179</v>
      </c>
      <c r="C37" s="1324"/>
      <c r="D37" s="1325" t="s">
        <v>1226</v>
      </c>
      <c r="E37" s="1325" t="s">
        <v>1227</v>
      </c>
      <c r="F37" s="1324"/>
      <c r="G37" s="1324"/>
      <c r="H37" s="1324"/>
      <c r="I37" s="1324"/>
      <c r="J37" s="1324"/>
      <c r="K37" s="1324" t="s">
        <v>1228</v>
      </c>
    </row>
    <row r="38" spans="2:11" s="1050" customFormat="1" x14ac:dyDescent="0.2">
      <c r="B38" s="1324" t="s">
        <v>1179</v>
      </c>
      <c r="C38" s="1324"/>
      <c r="D38" s="1325" t="s">
        <v>1229</v>
      </c>
      <c r="E38" s="1325" t="s">
        <v>1230</v>
      </c>
      <c r="F38" s="1324"/>
      <c r="G38" s="1324"/>
      <c r="H38" s="1324"/>
      <c r="I38" s="1324"/>
      <c r="J38" s="1324"/>
      <c r="K38" s="1324" t="s">
        <v>1231</v>
      </c>
    </row>
    <row r="39" spans="2:11" s="1050" customFormat="1" x14ac:dyDescent="0.2">
      <c r="B39" s="1324" t="s">
        <v>1179</v>
      </c>
      <c r="C39" s="1324"/>
      <c r="D39" s="1325" t="s">
        <v>1232</v>
      </c>
      <c r="E39" s="1325" t="s">
        <v>1233</v>
      </c>
      <c r="F39" s="1324"/>
      <c r="G39" s="1324"/>
      <c r="H39" s="1324"/>
      <c r="I39" s="1324"/>
      <c r="J39" s="1324"/>
      <c r="K39" s="1324" t="s">
        <v>1234</v>
      </c>
    </row>
    <row r="40" spans="2:11" s="1050" customFormat="1" x14ac:dyDescent="0.2">
      <c r="B40" s="1324" t="s">
        <v>1179</v>
      </c>
      <c r="C40" s="1324"/>
      <c r="D40" s="1325" t="s">
        <v>1235</v>
      </c>
      <c r="E40" s="1325" t="s">
        <v>1236</v>
      </c>
      <c r="F40" s="1324"/>
      <c r="G40" s="1324"/>
      <c r="H40" s="1324"/>
      <c r="I40" s="1324"/>
      <c r="J40" s="1324"/>
      <c r="K40" s="1324" t="s">
        <v>1237</v>
      </c>
    </row>
    <row r="41" spans="2:11" s="1050" customFormat="1" x14ac:dyDescent="0.2">
      <c r="B41" s="1324" t="s">
        <v>1182</v>
      </c>
      <c r="C41" s="1324"/>
      <c r="D41" s="1325" t="s">
        <v>1238</v>
      </c>
      <c r="E41" s="1325" t="s">
        <v>1239</v>
      </c>
      <c r="F41" s="1324"/>
      <c r="G41" s="1324"/>
      <c r="H41" s="1324"/>
      <c r="I41" s="1324"/>
      <c r="J41" s="1324"/>
      <c r="K41" s="1324" t="s">
        <v>1240</v>
      </c>
    </row>
    <row r="42" spans="2:11" s="1050" customFormat="1" x14ac:dyDescent="0.2">
      <c r="B42" s="1324" t="s">
        <v>1182</v>
      </c>
      <c r="C42" s="1324"/>
      <c r="D42" s="1325" t="s">
        <v>1241</v>
      </c>
      <c r="E42" s="1325" t="s">
        <v>1242</v>
      </c>
      <c r="F42" s="1324"/>
      <c r="G42" s="1324"/>
      <c r="H42" s="1324"/>
      <c r="I42" s="1324"/>
      <c r="J42" s="1324"/>
      <c r="K42" s="1324" t="s">
        <v>1243</v>
      </c>
    </row>
    <row r="43" spans="2:11" s="1050" customFormat="1" x14ac:dyDescent="0.2">
      <c r="B43" s="1324" t="s">
        <v>1182</v>
      </c>
      <c r="C43" s="1324"/>
      <c r="D43" s="1325" t="s">
        <v>1244</v>
      </c>
      <c r="E43" s="1325" t="s">
        <v>1245</v>
      </c>
      <c r="F43" s="1324"/>
      <c r="G43" s="1324"/>
      <c r="H43" s="1324"/>
      <c r="I43" s="1324"/>
      <c r="J43" s="1324"/>
      <c r="K43" s="1324" t="s">
        <v>1246</v>
      </c>
    </row>
    <row r="44" spans="2:11" s="1050" customFormat="1" x14ac:dyDescent="0.2">
      <c r="B44" s="1324" t="s">
        <v>1182</v>
      </c>
      <c r="C44" s="1324"/>
      <c r="D44" s="1325" t="s">
        <v>1247</v>
      </c>
      <c r="E44" s="1325" t="s">
        <v>1248</v>
      </c>
      <c r="F44" s="1324"/>
      <c r="G44" s="1324"/>
      <c r="H44" s="1324"/>
      <c r="I44" s="1324"/>
      <c r="J44" s="1324"/>
      <c r="K44" s="1324" t="s">
        <v>1249</v>
      </c>
    </row>
    <row r="45" spans="2:11" s="1050" customFormat="1" x14ac:dyDescent="0.2">
      <c r="B45" s="1324" t="s">
        <v>1182</v>
      </c>
      <c r="C45" s="1324"/>
      <c r="D45" s="1325" t="s">
        <v>1250</v>
      </c>
      <c r="E45" s="1325" t="s">
        <v>1251</v>
      </c>
      <c r="F45" s="1324"/>
      <c r="G45" s="1324"/>
      <c r="H45" s="1324"/>
      <c r="I45" s="1324"/>
      <c r="J45" s="1324"/>
      <c r="K45" s="1324" t="s">
        <v>1252</v>
      </c>
    </row>
    <row r="46" spans="2:11" s="1050" customFormat="1" x14ac:dyDescent="0.2">
      <c r="B46" s="1324" t="s">
        <v>1182</v>
      </c>
      <c r="C46" s="1324"/>
      <c r="D46" s="1325" t="s">
        <v>1253</v>
      </c>
      <c r="E46" s="1325" t="s">
        <v>1254</v>
      </c>
      <c r="F46" s="1324"/>
      <c r="G46" s="1324"/>
      <c r="H46" s="1324"/>
      <c r="I46" s="1324"/>
      <c r="J46" s="1324"/>
      <c r="K46" s="1324" t="s">
        <v>1255</v>
      </c>
    </row>
    <row r="47" spans="2:11" s="1050" customFormat="1" x14ac:dyDescent="0.2">
      <c r="B47" s="1324" t="s">
        <v>1182</v>
      </c>
      <c r="C47" s="1324"/>
      <c r="D47" s="1325" t="s">
        <v>1256</v>
      </c>
      <c r="E47" s="1325" t="s">
        <v>1257</v>
      </c>
      <c r="F47" s="1324"/>
      <c r="G47" s="1324"/>
      <c r="H47" s="1324"/>
      <c r="I47" s="1324"/>
      <c r="J47" s="1324"/>
      <c r="K47" s="1324" t="s">
        <v>1258</v>
      </c>
    </row>
    <row r="48" spans="2:11" s="1050" customFormat="1" x14ac:dyDescent="0.2">
      <c r="B48" s="1324" t="s">
        <v>1182</v>
      </c>
      <c r="C48" s="1324"/>
      <c r="D48" s="1325" t="s">
        <v>1259</v>
      </c>
      <c r="E48" s="1325" t="s">
        <v>1260</v>
      </c>
      <c r="F48" s="1324"/>
      <c r="G48" s="1324"/>
      <c r="H48" s="1324"/>
      <c r="I48" s="1324"/>
      <c r="J48" s="1324"/>
      <c r="K48" s="1324" t="s">
        <v>1261</v>
      </c>
    </row>
    <row r="49" spans="2:11" s="1050" customFormat="1" x14ac:dyDescent="0.2">
      <c r="B49" s="1324" t="s">
        <v>1184</v>
      </c>
      <c r="C49" s="1324"/>
      <c r="D49" s="1325" t="s">
        <v>1262</v>
      </c>
      <c r="E49" s="1325" t="s">
        <v>1263</v>
      </c>
      <c r="F49" s="1324"/>
      <c r="G49" s="1324"/>
      <c r="H49" s="1324"/>
      <c r="I49" s="1324"/>
      <c r="J49" s="1324"/>
      <c r="K49" s="1324" t="s">
        <v>1264</v>
      </c>
    </row>
    <row r="50" spans="2:11" s="1050" customFormat="1" x14ac:dyDescent="0.2">
      <c r="B50" s="1324" t="s">
        <v>1184</v>
      </c>
      <c r="C50" s="1324"/>
      <c r="D50" s="1325" t="s">
        <v>1265</v>
      </c>
      <c r="E50" s="1325" t="s">
        <v>1266</v>
      </c>
      <c r="F50" s="1324"/>
      <c r="G50" s="1324"/>
      <c r="H50" s="1324"/>
      <c r="I50" s="1324"/>
      <c r="J50" s="1324"/>
      <c r="K50" s="1324" t="s">
        <v>1267</v>
      </c>
    </row>
    <row r="51" spans="2:11" s="1050" customFormat="1" x14ac:dyDescent="0.2">
      <c r="B51" s="1324" t="s">
        <v>1184</v>
      </c>
      <c r="C51" s="1324"/>
      <c r="D51" s="1325" t="s">
        <v>1268</v>
      </c>
      <c r="E51" s="1325" t="s">
        <v>1269</v>
      </c>
      <c r="F51" s="1324"/>
      <c r="G51" s="1324"/>
      <c r="H51" s="1324"/>
      <c r="I51" s="1324"/>
      <c r="J51" s="1324"/>
      <c r="K51" s="1324" t="s">
        <v>1270</v>
      </c>
    </row>
    <row r="52" spans="2:11" s="1050" customFormat="1" x14ac:dyDescent="0.2">
      <c r="B52" s="1324" t="s">
        <v>1184</v>
      </c>
      <c r="C52" s="1324"/>
      <c r="D52" s="1325" t="s">
        <v>1271</v>
      </c>
      <c r="E52" s="1325" t="s">
        <v>1272</v>
      </c>
      <c r="F52" s="1324"/>
      <c r="G52" s="1324"/>
      <c r="H52" s="1324"/>
      <c r="I52" s="1324"/>
      <c r="J52" s="1324"/>
      <c r="K52" s="1324" t="s">
        <v>1273</v>
      </c>
    </row>
    <row r="53" spans="2:11" s="1050" customFormat="1" x14ac:dyDescent="0.2">
      <c r="B53" s="1324" t="s">
        <v>1184</v>
      </c>
      <c r="C53" s="1324"/>
      <c r="D53" s="1325" t="s">
        <v>1274</v>
      </c>
      <c r="E53" s="1325" t="s">
        <v>1275</v>
      </c>
      <c r="F53" s="1324"/>
      <c r="G53" s="1324"/>
      <c r="H53" s="1324"/>
      <c r="I53" s="1324"/>
      <c r="J53" s="1324"/>
      <c r="K53" s="1324" t="s">
        <v>1276</v>
      </c>
    </row>
    <row r="54" spans="2:11" s="1050" customFormat="1" x14ac:dyDescent="0.2">
      <c r="B54" s="1324" t="s">
        <v>1184</v>
      </c>
      <c r="C54" s="1324"/>
      <c r="D54" s="1325" t="s">
        <v>1277</v>
      </c>
      <c r="E54" s="1325" t="s">
        <v>1278</v>
      </c>
      <c r="F54" s="1324"/>
      <c r="G54" s="1324"/>
      <c r="H54" s="1324"/>
      <c r="I54" s="1324"/>
      <c r="J54" s="1324"/>
      <c r="K54" s="1324" t="s">
        <v>1279</v>
      </c>
    </row>
    <row r="55" spans="2:11" s="1050" customFormat="1" x14ac:dyDescent="0.2">
      <c r="B55" s="1324" t="s">
        <v>1184</v>
      </c>
      <c r="C55" s="1324"/>
      <c r="D55" s="1325" t="s">
        <v>1280</v>
      </c>
      <c r="E55" s="1325" t="s">
        <v>1065</v>
      </c>
      <c r="F55" s="1324"/>
      <c r="G55" s="1324"/>
      <c r="H55" s="1324"/>
      <c r="I55" s="1324"/>
      <c r="J55" s="1324"/>
      <c r="K55" s="1324" t="s">
        <v>1281</v>
      </c>
    </row>
    <row r="56" spans="2:11" s="1050" customFormat="1" x14ac:dyDescent="0.2">
      <c r="B56" s="1324" t="s">
        <v>1184</v>
      </c>
      <c r="C56" s="1324"/>
      <c r="D56" s="1325" t="s">
        <v>1282</v>
      </c>
      <c r="E56" s="1325" t="s">
        <v>1067</v>
      </c>
      <c r="F56" s="1324"/>
      <c r="G56" s="1324"/>
      <c r="H56" s="1324"/>
      <c r="I56" s="1324"/>
      <c r="J56" s="1324"/>
      <c r="K56" s="1324" t="s">
        <v>1283</v>
      </c>
    </row>
    <row r="57" spans="2:11" s="1050" customFormat="1" x14ac:dyDescent="0.2">
      <c r="B57" s="1324" t="s">
        <v>1184</v>
      </c>
      <c r="C57" s="1324"/>
      <c r="D57" s="1325" t="s">
        <v>1284</v>
      </c>
      <c r="E57" s="1325" t="s">
        <v>1285</v>
      </c>
      <c r="F57" s="1324"/>
      <c r="G57" s="1324"/>
      <c r="H57" s="1324"/>
      <c r="I57" s="1324"/>
      <c r="J57" s="1324"/>
      <c r="K57" s="1324" t="s">
        <v>1286</v>
      </c>
    </row>
    <row r="58" spans="2:11" s="1050" customFormat="1" x14ac:dyDescent="0.2">
      <c r="B58" s="1324" t="s">
        <v>1184</v>
      </c>
      <c r="C58" s="1324"/>
      <c r="D58" s="1325" t="s">
        <v>1287</v>
      </c>
      <c r="E58" s="1325" t="s">
        <v>1288</v>
      </c>
      <c r="F58" s="1324"/>
      <c r="G58" s="1324"/>
      <c r="H58" s="1324"/>
      <c r="I58" s="1324"/>
      <c r="J58" s="1324"/>
      <c r="K58" s="1324" t="s">
        <v>1289</v>
      </c>
    </row>
    <row r="59" spans="2:11" s="1050" customFormat="1" x14ac:dyDescent="0.2">
      <c r="B59" s="1324" t="s">
        <v>1186</v>
      </c>
      <c r="C59" s="1324"/>
      <c r="D59" s="1325" t="s">
        <v>1290</v>
      </c>
      <c r="E59" s="1325" t="s">
        <v>1076</v>
      </c>
      <c r="F59" s="1324"/>
      <c r="G59" s="1324"/>
      <c r="H59" s="1324"/>
      <c r="I59" s="1324"/>
      <c r="J59" s="1324"/>
      <c r="K59" s="1324" t="s">
        <v>1291</v>
      </c>
    </row>
    <row r="60" spans="2:11" s="1050" customFormat="1" x14ac:dyDescent="0.2">
      <c r="B60" s="1324" t="s">
        <v>1186</v>
      </c>
      <c r="C60" s="1324"/>
      <c r="D60" s="1325" t="s">
        <v>1292</v>
      </c>
      <c r="E60" s="1325" t="s">
        <v>1293</v>
      </c>
      <c r="F60" s="1324"/>
      <c r="G60" s="1324"/>
      <c r="H60" s="1324"/>
      <c r="I60" s="1324"/>
      <c r="J60" s="1324"/>
      <c r="K60" s="1324" t="s">
        <v>1294</v>
      </c>
    </row>
    <row r="61" spans="2:11" s="1050" customFormat="1" x14ac:dyDescent="0.2">
      <c r="B61" s="1324" t="s">
        <v>1186</v>
      </c>
      <c r="C61" s="1324"/>
      <c r="D61" s="1325" t="s">
        <v>1295</v>
      </c>
      <c r="E61" s="1325" t="s">
        <v>1296</v>
      </c>
      <c r="F61" s="1324"/>
      <c r="G61" s="1324"/>
      <c r="H61" s="1324"/>
      <c r="I61" s="1324"/>
      <c r="J61" s="1324"/>
      <c r="K61" s="1324" t="s">
        <v>1297</v>
      </c>
    </row>
    <row r="62" spans="2:11" s="1050" customFormat="1" x14ac:dyDescent="0.2">
      <c r="B62" s="1324" t="s">
        <v>1186</v>
      </c>
      <c r="C62" s="1324"/>
      <c r="D62" s="1325" t="s">
        <v>1298</v>
      </c>
      <c r="E62" s="1325" t="s">
        <v>1299</v>
      </c>
      <c r="F62" s="1324"/>
      <c r="G62" s="1324"/>
      <c r="H62" s="1324"/>
      <c r="I62" s="1324"/>
      <c r="J62" s="1324"/>
      <c r="K62" s="1324" t="s">
        <v>1300</v>
      </c>
    </row>
    <row r="63" spans="2:11" s="1050" customFormat="1" x14ac:dyDescent="0.2">
      <c r="B63" s="1324" t="s">
        <v>1186</v>
      </c>
      <c r="C63" s="1324"/>
      <c r="D63" s="1325" t="s">
        <v>1301</v>
      </c>
      <c r="E63" s="1325" t="s">
        <v>1302</v>
      </c>
      <c r="F63" s="1324"/>
      <c r="G63" s="1324"/>
      <c r="H63" s="1324"/>
      <c r="I63" s="1324"/>
      <c r="J63" s="1324"/>
      <c r="K63" s="1324" t="s">
        <v>1303</v>
      </c>
    </row>
    <row r="64" spans="2:11" s="1050" customFormat="1" x14ac:dyDescent="0.2">
      <c r="B64" s="1324" t="s">
        <v>1186</v>
      </c>
      <c r="C64" s="1324"/>
      <c r="D64" s="1325" t="s">
        <v>1304</v>
      </c>
      <c r="E64" s="1325" t="s">
        <v>1305</v>
      </c>
      <c r="F64" s="1324"/>
      <c r="G64" s="1324"/>
      <c r="H64" s="1324"/>
      <c r="I64" s="1324"/>
      <c r="J64" s="1324"/>
      <c r="K64" s="1324" t="s">
        <v>1306</v>
      </c>
    </row>
    <row r="65" spans="2:11" s="1050" customFormat="1" x14ac:dyDescent="0.2">
      <c r="B65" s="1324" t="s">
        <v>1189</v>
      </c>
      <c r="C65" s="1324"/>
      <c r="D65" s="1325" t="s">
        <v>1307</v>
      </c>
      <c r="E65" s="1325" t="s">
        <v>1308</v>
      </c>
      <c r="F65" s="1324"/>
      <c r="G65" s="1324"/>
      <c r="H65" s="1324"/>
      <c r="I65" s="1324"/>
      <c r="J65" s="1324"/>
      <c r="K65" s="1324" t="s">
        <v>1309</v>
      </c>
    </row>
    <row r="66" spans="2:11" s="1050" customFormat="1" x14ac:dyDescent="0.2">
      <c r="B66" s="1324" t="s">
        <v>1189</v>
      </c>
      <c r="C66" s="1324"/>
      <c r="D66" s="1325" t="s">
        <v>1310</v>
      </c>
      <c r="E66" s="1325" t="s">
        <v>1311</v>
      </c>
      <c r="F66" s="1324"/>
      <c r="G66" s="1324"/>
      <c r="H66" s="1324"/>
      <c r="I66" s="1324"/>
      <c r="J66" s="1324"/>
      <c r="K66" s="1324" t="s">
        <v>1312</v>
      </c>
    </row>
    <row r="67" spans="2:11" s="1050" customFormat="1" x14ac:dyDescent="0.2">
      <c r="B67" s="1324" t="s">
        <v>1189</v>
      </c>
      <c r="C67" s="1324"/>
      <c r="D67" s="1325" t="s">
        <v>1313</v>
      </c>
      <c r="E67" s="1325" t="s">
        <v>1314</v>
      </c>
      <c r="F67" s="1324"/>
      <c r="G67" s="1324"/>
      <c r="H67" s="1324"/>
      <c r="I67" s="1324"/>
      <c r="J67" s="1324"/>
      <c r="K67" s="1324" t="s">
        <v>1315</v>
      </c>
    </row>
    <row r="68" spans="2:11" s="1050" customFormat="1" x14ac:dyDescent="0.2">
      <c r="B68" s="1324" t="s">
        <v>1192</v>
      </c>
      <c r="C68" s="1324"/>
      <c r="D68" s="1325" t="s">
        <v>1316</v>
      </c>
      <c r="E68" s="1325" t="s">
        <v>1317</v>
      </c>
      <c r="F68" s="1324"/>
      <c r="G68" s="1324"/>
      <c r="H68" s="1324"/>
      <c r="I68" s="1324"/>
      <c r="J68" s="1324"/>
      <c r="K68" s="1324" t="s">
        <v>1318</v>
      </c>
    </row>
    <row r="69" spans="2:11" s="1050" customFormat="1" x14ac:dyDescent="0.2">
      <c r="B69" s="1324" t="s">
        <v>1192</v>
      </c>
      <c r="C69" s="1324"/>
      <c r="D69" s="1325" t="s">
        <v>1319</v>
      </c>
      <c r="E69" s="1325" t="s">
        <v>1320</v>
      </c>
      <c r="F69" s="1324"/>
      <c r="G69" s="1324"/>
      <c r="H69" s="1324"/>
      <c r="I69" s="1324"/>
      <c r="J69" s="1324"/>
      <c r="K69" s="1324" t="s">
        <v>1321</v>
      </c>
    </row>
    <row r="70" spans="2:11" s="1050" customFormat="1" x14ac:dyDescent="0.2">
      <c r="B70" s="1324" t="s">
        <v>1192</v>
      </c>
      <c r="C70" s="1324"/>
      <c r="D70" s="1325" t="s">
        <v>1322</v>
      </c>
      <c r="E70" s="1325" t="s">
        <v>1323</v>
      </c>
      <c r="F70" s="1324"/>
      <c r="G70" s="1324"/>
      <c r="H70" s="1324"/>
      <c r="I70" s="1324"/>
      <c r="J70" s="1324"/>
      <c r="K70" s="1324" t="s">
        <v>1324</v>
      </c>
    </row>
    <row r="71" spans="2:11" s="1050" customFormat="1" x14ac:dyDescent="0.2">
      <c r="B71" s="1324" t="s">
        <v>1192</v>
      </c>
      <c r="C71" s="1324"/>
      <c r="D71" s="1325" t="s">
        <v>1325</v>
      </c>
      <c r="E71" s="1325" t="s">
        <v>1326</v>
      </c>
      <c r="F71" s="1324"/>
      <c r="G71" s="1324"/>
      <c r="H71" s="1324"/>
      <c r="I71" s="1324"/>
      <c r="J71" s="1324"/>
      <c r="K71" s="1324" t="s">
        <v>1327</v>
      </c>
    </row>
    <row r="72" spans="2:11" s="1050" customFormat="1" x14ac:dyDescent="0.2">
      <c r="B72" s="1324" t="s">
        <v>1192</v>
      </c>
      <c r="C72" s="1324"/>
      <c r="D72" s="1325" t="s">
        <v>1328</v>
      </c>
      <c r="E72" s="1325" t="s">
        <v>1329</v>
      </c>
      <c r="F72" s="1324"/>
      <c r="G72" s="1324"/>
      <c r="H72" s="1324"/>
      <c r="I72" s="1324"/>
      <c r="J72" s="1324"/>
      <c r="K72" s="1324" t="s">
        <v>1330</v>
      </c>
    </row>
    <row r="73" spans="2:11" s="1050" customFormat="1" x14ac:dyDescent="0.2">
      <c r="B73" s="1324" t="s">
        <v>1195</v>
      </c>
      <c r="C73" s="1324"/>
      <c r="D73" s="1325" t="s">
        <v>1331</v>
      </c>
      <c r="E73" s="1325" t="s">
        <v>1332</v>
      </c>
      <c r="F73" s="1324"/>
      <c r="G73" s="1324"/>
      <c r="H73" s="1324"/>
      <c r="I73" s="1324"/>
      <c r="J73" s="1324"/>
      <c r="K73" s="1324" t="s">
        <v>1333</v>
      </c>
    </row>
    <row r="74" spans="2:11" s="1050" customFormat="1" x14ac:dyDescent="0.2">
      <c r="B74" s="1324" t="s">
        <v>1195</v>
      </c>
      <c r="C74" s="1324"/>
      <c r="D74" s="1325" t="s">
        <v>1334</v>
      </c>
      <c r="E74" s="1325" t="s">
        <v>1335</v>
      </c>
      <c r="F74" s="1324"/>
      <c r="G74" s="1324"/>
      <c r="H74" s="1324"/>
      <c r="I74" s="1324"/>
      <c r="J74" s="1324"/>
      <c r="K74" s="1324" t="s">
        <v>1336</v>
      </c>
    </row>
    <row r="75" spans="2:11" s="1050" customFormat="1" x14ac:dyDescent="0.2">
      <c r="B75" s="1324" t="s">
        <v>1195</v>
      </c>
      <c r="C75" s="1324"/>
      <c r="D75" s="1325" t="s">
        <v>1337</v>
      </c>
      <c r="E75" s="1325" t="s">
        <v>1338</v>
      </c>
      <c r="F75" s="1324"/>
      <c r="G75" s="1324"/>
      <c r="H75" s="1324"/>
      <c r="I75" s="1324"/>
      <c r="J75" s="1324"/>
      <c r="K75" s="1324" t="s">
        <v>1339</v>
      </c>
    </row>
    <row r="76" spans="2:11" s="1050" customFormat="1" x14ac:dyDescent="0.2">
      <c r="B76" s="1324" t="s">
        <v>1197</v>
      </c>
      <c r="C76" s="1324"/>
      <c r="D76" s="1325" t="s">
        <v>1340</v>
      </c>
      <c r="E76" s="1325" t="s">
        <v>1341</v>
      </c>
      <c r="F76" s="1324"/>
      <c r="G76" s="1324"/>
      <c r="H76" s="1324"/>
      <c r="I76" s="1324"/>
      <c r="J76" s="1324"/>
      <c r="K76" s="1324" t="s">
        <v>1342</v>
      </c>
    </row>
    <row r="77" spans="2:11" s="1050" customFormat="1" x14ac:dyDescent="0.2">
      <c r="B77" s="1324" t="s">
        <v>1197</v>
      </c>
      <c r="C77" s="1324"/>
      <c r="D77" s="1325" t="s">
        <v>1343</v>
      </c>
      <c r="E77" s="1325" t="s">
        <v>1344</v>
      </c>
      <c r="F77" s="1324"/>
      <c r="G77" s="1324"/>
      <c r="H77" s="1324"/>
      <c r="I77" s="1324"/>
      <c r="J77" s="1324"/>
      <c r="K77" s="1324" t="s">
        <v>1345</v>
      </c>
    </row>
    <row r="78" spans="2:11" s="1050" customFormat="1" x14ac:dyDescent="0.2">
      <c r="B78" s="1324" t="s">
        <v>1197</v>
      </c>
      <c r="C78" s="1324"/>
      <c r="D78" s="1325" t="s">
        <v>1346</v>
      </c>
      <c r="E78" s="1325" t="s">
        <v>1013</v>
      </c>
      <c r="F78" s="1324"/>
      <c r="G78" s="1324"/>
      <c r="H78" s="1324"/>
      <c r="I78" s="1324"/>
      <c r="J78" s="1324"/>
      <c r="K78" s="1324" t="s">
        <v>1347</v>
      </c>
    </row>
    <row r="79" spans="2:11" s="1050" customFormat="1" x14ac:dyDescent="0.2">
      <c r="B79" s="1324" t="s">
        <v>1197</v>
      </c>
      <c r="C79" s="1324"/>
      <c r="D79" s="1325" t="s">
        <v>1348</v>
      </c>
      <c r="E79" s="1325" t="s">
        <v>1349</v>
      </c>
      <c r="F79" s="1324"/>
      <c r="G79" s="1324"/>
      <c r="H79" s="1324"/>
      <c r="I79" s="1324"/>
      <c r="J79" s="1324"/>
      <c r="K79" s="1324" t="s">
        <v>1350</v>
      </c>
    </row>
    <row r="80" spans="2:11" s="1050" customFormat="1" x14ac:dyDescent="0.2">
      <c r="B80" s="1324" t="s">
        <v>1197</v>
      </c>
      <c r="C80" s="1324"/>
      <c r="D80" s="1325" t="s">
        <v>1351</v>
      </c>
      <c r="E80" s="1325" t="s">
        <v>1352</v>
      </c>
      <c r="F80" s="1324"/>
      <c r="G80" s="1324"/>
      <c r="H80" s="1324"/>
      <c r="I80" s="1324"/>
      <c r="J80" s="1324"/>
      <c r="K80" s="1324" t="s">
        <v>1353</v>
      </c>
    </row>
    <row r="81" spans="2:11" s="1050" customFormat="1" x14ac:dyDescent="0.2">
      <c r="B81" s="1324" t="s">
        <v>1199</v>
      </c>
      <c r="C81" s="1324"/>
      <c r="D81" s="1325" t="s">
        <v>1354</v>
      </c>
      <c r="E81" s="1325" t="s">
        <v>1355</v>
      </c>
      <c r="F81" s="1324"/>
      <c r="G81" s="1324"/>
      <c r="H81" s="1324"/>
      <c r="I81" s="1324"/>
      <c r="J81" s="1324"/>
      <c r="K81" s="1324" t="s">
        <v>1356</v>
      </c>
    </row>
    <row r="82" spans="2:11" s="1050" customFormat="1" x14ac:dyDescent="0.2">
      <c r="B82" s="1324" t="s">
        <v>1199</v>
      </c>
      <c r="C82" s="1324"/>
      <c r="D82" s="1325" t="s">
        <v>1357</v>
      </c>
      <c r="E82" s="1325" t="s">
        <v>1152</v>
      </c>
      <c r="F82" s="1324"/>
      <c r="G82" s="1324"/>
      <c r="H82" s="1324"/>
      <c r="I82" s="1324"/>
      <c r="J82" s="1324"/>
      <c r="K82" s="1324" t="s">
        <v>1358</v>
      </c>
    </row>
    <row r="83" spans="2:11" s="1050" customFormat="1" x14ac:dyDescent="0.2">
      <c r="B83" s="1324" t="s">
        <v>1199</v>
      </c>
      <c r="C83" s="1324"/>
      <c r="D83" s="1325" t="s">
        <v>1359</v>
      </c>
      <c r="E83" s="1325" t="s">
        <v>1360</v>
      </c>
      <c r="F83" s="1324"/>
      <c r="G83" s="1324"/>
      <c r="H83" s="1324"/>
      <c r="I83" s="1324"/>
      <c r="J83" s="1324"/>
      <c r="K83" s="1324" t="s">
        <v>1361</v>
      </c>
    </row>
    <row r="84" spans="2:11" s="1050" customFormat="1" x14ac:dyDescent="0.2">
      <c r="B84" s="1324" t="s">
        <v>1199</v>
      </c>
      <c r="C84" s="1324"/>
      <c r="D84" s="1325" t="s">
        <v>1362</v>
      </c>
      <c r="E84" s="1325" t="s">
        <v>1363</v>
      </c>
      <c r="F84" s="1324"/>
      <c r="G84" s="1324"/>
      <c r="H84" s="1324"/>
      <c r="I84" s="1324"/>
      <c r="J84" s="1324"/>
      <c r="K84" s="1324" t="s">
        <v>1364</v>
      </c>
    </row>
    <row r="85" spans="2:11" s="1050" customFormat="1" x14ac:dyDescent="0.2">
      <c r="B85" s="1324" t="s">
        <v>1199</v>
      </c>
      <c r="C85" s="1324"/>
      <c r="D85" s="1325" t="s">
        <v>1365</v>
      </c>
      <c r="E85" s="1325" t="s">
        <v>1366</v>
      </c>
      <c r="F85" s="1324"/>
      <c r="G85" s="1324"/>
      <c r="H85" s="1324"/>
      <c r="I85" s="1324"/>
      <c r="J85" s="1324"/>
      <c r="K85" s="1324" t="s">
        <v>1367</v>
      </c>
    </row>
    <row r="86" spans="2:11" s="1050" customFormat="1" x14ac:dyDescent="0.2">
      <c r="B86" s="1324" t="s">
        <v>1199</v>
      </c>
      <c r="C86" s="1324"/>
      <c r="D86" s="1325" t="s">
        <v>1368</v>
      </c>
      <c r="E86" s="1325" t="s">
        <v>1073</v>
      </c>
      <c r="F86" s="1324"/>
      <c r="G86" s="1324"/>
      <c r="H86" s="1324"/>
      <c r="I86" s="1324"/>
      <c r="J86" s="1324"/>
      <c r="K86" s="1324" t="s">
        <v>1369</v>
      </c>
    </row>
    <row r="87" spans="2:11" s="1050" customFormat="1" x14ac:dyDescent="0.2">
      <c r="B87" s="1324" t="s">
        <v>1199</v>
      </c>
      <c r="C87" s="1324"/>
      <c r="D87" s="1325" t="s">
        <v>1370</v>
      </c>
      <c r="E87" s="1325" t="s">
        <v>1371</v>
      </c>
      <c r="F87" s="1324"/>
      <c r="G87" s="1324"/>
      <c r="H87" s="1324"/>
      <c r="I87" s="1324"/>
      <c r="J87" s="1324"/>
      <c r="K87" s="1324" t="s">
        <v>1372</v>
      </c>
    </row>
    <row r="88" spans="2:11" s="1050" customFormat="1" x14ac:dyDescent="0.2">
      <c r="B88" s="1324" t="s">
        <v>1201</v>
      </c>
      <c r="C88" s="1324"/>
      <c r="D88" s="1325" t="s">
        <v>1373</v>
      </c>
      <c r="E88" s="1325" t="s">
        <v>1374</v>
      </c>
      <c r="F88" s="1324"/>
      <c r="G88" s="1324"/>
      <c r="H88" s="1324"/>
      <c r="I88" s="1324"/>
      <c r="J88" s="1324"/>
      <c r="K88" s="1324" t="s">
        <v>1375</v>
      </c>
    </row>
    <row r="89" spans="2:11" s="1050" customFormat="1" x14ac:dyDescent="0.2">
      <c r="B89" s="1324" t="s">
        <v>1201</v>
      </c>
      <c r="C89" s="1324"/>
      <c r="D89" s="1325" t="s">
        <v>1376</v>
      </c>
      <c r="E89" s="1325" t="s">
        <v>1082</v>
      </c>
      <c r="F89" s="1324"/>
      <c r="G89" s="1324"/>
      <c r="H89" s="1324"/>
      <c r="I89" s="1324"/>
      <c r="J89" s="1324"/>
      <c r="K89" s="1324" t="s">
        <v>1377</v>
      </c>
    </row>
    <row r="90" spans="2:11" s="1050" customFormat="1" x14ac:dyDescent="0.2">
      <c r="B90" s="1324" t="s">
        <v>1201</v>
      </c>
      <c r="C90" s="1324"/>
      <c r="D90" s="1325" t="s">
        <v>1378</v>
      </c>
      <c r="E90" s="1325" t="s">
        <v>1379</v>
      </c>
      <c r="F90" s="1324"/>
      <c r="G90" s="1324"/>
      <c r="H90" s="1324"/>
      <c r="I90" s="1324"/>
      <c r="J90" s="1324"/>
      <c r="K90" s="1324" t="s">
        <v>1380</v>
      </c>
    </row>
    <row r="91" spans="2:11" s="1050" customFormat="1" x14ac:dyDescent="0.2">
      <c r="B91" s="1324" t="s">
        <v>1203</v>
      </c>
      <c r="C91" s="1324"/>
      <c r="D91" s="1325" t="s">
        <v>1381</v>
      </c>
      <c r="E91" s="1325" t="s">
        <v>1070</v>
      </c>
      <c r="F91" s="1324"/>
      <c r="G91" s="1324"/>
      <c r="H91" s="1324"/>
      <c r="I91" s="1324"/>
      <c r="J91" s="1324"/>
      <c r="K91" s="1324" t="s">
        <v>1382</v>
      </c>
    </row>
    <row r="92" spans="2:11" s="1050" customFormat="1" x14ac:dyDescent="0.2">
      <c r="B92" s="1324" t="s">
        <v>1206</v>
      </c>
      <c r="C92" s="1324"/>
      <c r="D92" s="1325" t="s">
        <v>1383</v>
      </c>
      <c r="E92" s="1325" t="s">
        <v>1384</v>
      </c>
      <c r="F92" s="1324"/>
      <c r="G92" s="1324"/>
      <c r="H92" s="1324"/>
      <c r="I92" s="1324"/>
      <c r="J92" s="1324"/>
      <c r="K92" s="1324" t="s">
        <v>1385</v>
      </c>
    </row>
    <row r="93" spans="2:11" s="1050" customFormat="1" x14ac:dyDescent="0.2">
      <c r="B93" s="1324" t="s">
        <v>1206</v>
      </c>
      <c r="C93" s="1324"/>
      <c r="D93" s="1325" t="s">
        <v>1386</v>
      </c>
      <c r="E93" s="1325" t="s">
        <v>1387</v>
      </c>
      <c r="F93" s="1324"/>
      <c r="G93" s="1324"/>
      <c r="H93" s="1324"/>
      <c r="I93" s="1324"/>
      <c r="J93" s="1324"/>
      <c r="K93" s="1324" t="s">
        <v>1388</v>
      </c>
    </row>
    <row r="95" spans="2:11" x14ac:dyDescent="0.2">
      <c r="B95" s="971" t="s">
        <v>599</v>
      </c>
    </row>
    <row r="96" spans="2:11" x14ac:dyDescent="0.2">
      <c r="B96" s="1324" t="s">
        <v>519</v>
      </c>
      <c r="C96" s="1324" t="s">
        <v>556</v>
      </c>
      <c r="D96" s="1324" t="s">
        <v>601</v>
      </c>
      <c r="E96" s="1324" t="s">
        <v>602</v>
      </c>
      <c r="F96" s="1324"/>
      <c r="G96" s="1324" t="s">
        <v>356</v>
      </c>
    </row>
    <row r="97" spans="2:7" hidden="1" x14ac:dyDescent="0.2">
      <c r="B97" s="1325" t="s">
        <v>273</v>
      </c>
      <c r="C97" s="1348" t="s">
        <v>555</v>
      </c>
      <c r="D97" s="1348" t="s">
        <v>600</v>
      </c>
      <c r="E97" s="1324" t="str">
        <f>C97 &amp; "." &amp; D97 &amp; " " &amp; B97</f>
        <v>[Cost Grouping Number].[Cost Input Number] [Name]</v>
      </c>
      <c r="F97" s="1324"/>
      <c r="G97" s="1324" t="s">
        <v>355</v>
      </c>
    </row>
    <row r="98" spans="2:7" s="1050" customFormat="1" x14ac:dyDescent="0.2">
      <c r="B98" s="1325" t="s">
        <v>1429</v>
      </c>
      <c r="C98" s="1348">
        <v>1</v>
      </c>
      <c r="D98" s="1348">
        <v>0</v>
      </c>
      <c r="E98" s="1324" t="str">
        <f t="shared" ref="E98:E161" si="0">C98 &amp; "." &amp; D98 &amp; " " &amp; B98</f>
        <v>1.0 Human Resources (HR)</v>
      </c>
      <c r="F98" s="1324"/>
      <c r="G98" s="1324" t="s">
        <v>1430</v>
      </c>
    </row>
    <row r="99" spans="2:7" s="1050" customFormat="1" x14ac:dyDescent="0.2">
      <c r="B99" s="1325" t="s">
        <v>1431</v>
      </c>
      <c r="C99" s="1348">
        <v>1</v>
      </c>
      <c r="D99" s="1348">
        <v>1</v>
      </c>
      <c r="E99" s="1324" t="str">
        <f t="shared" si="0"/>
        <v>1.1 Salaries - program management</v>
      </c>
      <c r="F99" s="1324"/>
      <c r="G99" s="1324" t="s">
        <v>1432</v>
      </c>
    </row>
    <row r="100" spans="2:7" s="1050" customFormat="1" x14ac:dyDescent="0.2">
      <c r="B100" s="1325" t="s">
        <v>1433</v>
      </c>
      <c r="C100" s="1348">
        <v>1</v>
      </c>
      <c r="D100" s="1348">
        <v>2</v>
      </c>
      <c r="E100" s="1324" t="str">
        <f t="shared" si="0"/>
        <v>1.2 Salaries - outreach workers, medical staff and other service providers</v>
      </c>
      <c r="F100" s="1324"/>
      <c r="G100" s="1324" t="s">
        <v>1434</v>
      </c>
    </row>
    <row r="101" spans="2:7" s="1050" customFormat="1" x14ac:dyDescent="0.2">
      <c r="B101" s="1325" t="s">
        <v>1435</v>
      </c>
      <c r="C101" s="1348">
        <v>1</v>
      </c>
      <c r="D101" s="1348">
        <v>3</v>
      </c>
      <c r="E101" s="1324" t="str">
        <f t="shared" si="0"/>
        <v>1.3 Performance based suppliments, incentives</v>
      </c>
      <c r="F101" s="1324"/>
      <c r="G101" s="1324" t="s">
        <v>1436</v>
      </c>
    </row>
    <row r="102" spans="2:7" s="1050" customFormat="1" x14ac:dyDescent="0.2">
      <c r="B102" s="1325" t="s">
        <v>1437</v>
      </c>
      <c r="C102" s="1348">
        <v>1</v>
      </c>
      <c r="D102" s="1348">
        <v>4</v>
      </c>
      <c r="E102" s="1324" t="str">
        <f t="shared" si="0"/>
        <v>1.4 Other HR Costs</v>
      </c>
      <c r="F102" s="1324"/>
      <c r="G102" s="1324" t="s">
        <v>1438</v>
      </c>
    </row>
    <row r="103" spans="2:7" s="1050" customFormat="1" x14ac:dyDescent="0.2">
      <c r="B103" s="1325" t="s">
        <v>1439</v>
      </c>
      <c r="C103" s="1348">
        <v>2</v>
      </c>
      <c r="D103" s="1348">
        <v>0</v>
      </c>
      <c r="E103" s="1324" t="str">
        <f t="shared" si="0"/>
        <v>2.0 Travel related costs (TRC)</v>
      </c>
      <c r="F103" s="1324"/>
      <c r="G103" s="1324" t="s">
        <v>1440</v>
      </c>
    </row>
    <row r="104" spans="2:7" s="1050" customFormat="1" x14ac:dyDescent="0.2">
      <c r="B104" s="1325" t="s">
        <v>1441</v>
      </c>
      <c r="C104" s="1348">
        <v>2</v>
      </c>
      <c r="D104" s="1348">
        <v>1</v>
      </c>
      <c r="E104" s="1324" t="str">
        <f t="shared" si="0"/>
        <v>2.1 Training related per diems/transport/other costs</v>
      </c>
      <c r="F104" s="1324"/>
      <c r="G104" s="1324" t="s">
        <v>1442</v>
      </c>
    </row>
    <row r="105" spans="2:7" s="1050" customFormat="1" x14ac:dyDescent="0.2">
      <c r="B105" s="1325" t="s">
        <v>1443</v>
      </c>
      <c r="C105" s="1348">
        <v>2</v>
      </c>
      <c r="D105" s="1348">
        <v>2</v>
      </c>
      <c r="E105" s="1324" t="str">
        <f t="shared" si="0"/>
        <v>2.2 Technical assistance-related per diems/transport/other costs</v>
      </c>
      <c r="F105" s="1324"/>
      <c r="G105" s="1324" t="s">
        <v>1444</v>
      </c>
    </row>
    <row r="106" spans="2:7" s="1050" customFormat="1" x14ac:dyDescent="0.2">
      <c r="B106" s="1325" t="s">
        <v>1445</v>
      </c>
      <c r="C106" s="1348">
        <v>2</v>
      </c>
      <c r="D106" s="1348">
        <v>3</v>
      </c>
      <c r="E106" s="1324" t="str">
        <f t="shared" si="0"/>
        <v>2.3 Supervision/surveys/data collection related per diems/transport/other costs</v>
      </c>
      <c r="F106" s="1324"/>
      <c r="G106" s="1324" t="s">
        <v>1446</v>
      </c>
    </row>
    <row r="107" spans="2:7" s="1050" customFormat="1" x14ac:dyDescent="0.2">
      <c r="B107" s="1325" t="s">
        <v>1447</v>
      </c>
      <c r="C107" s="1348">
        <v>2</v>
      </c>
      <c r="D107" s="1348">
        <v>4</v>
      </c>
      <c r="E107" s="1324" t="str">
        <f t="shared" si="0"/>
        <v>2.4 Meeting/Advocacy related per diems/transport/other costs</v>
      </c>
      <c r="F107" s="1324"/>
      <c r="G107" s="1324" t="s">
        <v>1448</v>
      </c>
    </row>
    <row r="108" spans="2:7" s="1050" customFormat="1" x14ac:dyDescent="0.2">
      <c r="B108" s="1325" t="s">
        <v>1449</v>
      </c>
      <c r="C108" s="1348">
        <v>2</v>
      </c>
      <c r="D108" s="1348">
        <v>5</v>
      </c>
      <c r="E108" s="1324" t="str">
        <f t="shared" si="0"/>
        <v>2.5 Other Transportation costs</v>
      </c>
      <c r="F108" s="1324"/>
      <c r="G108" s="1324" t="s">
        <v>1450</v>
      </c>
    </row>
    <row r="109" spans="2:7" s="1050" customFormat="1" x14ac:dyDescent="0.2">
      <c r="B109" s="1325" t="s">
        <v>1451</v>
      </c>
      <c r="C109" s="1348">
        <v>3</v>
      </c>
      <c r="D109" s="1348">
        <v>0</v>
      </c>
      <c r="E109" s="1324" t="str">
        <f t="shared" si="0"/>
        <v>3.0 External Professional services (EPS)</v>
      </c>
      <c r="F109" s="1324"/>
      <c r="G109" s="1324" t="s">
        <v>1452</v>
      </c>
    </row>
    <row r="110" spans="2:7" s="1050" customFormat="1" x14ac:dyDescent="0.2">
      <c r="B110" s="1325" t="s">
        <v>1453</v>
      </c>
      <c r="C110" s="1348">
        <v>3</v>
      </c>
      <c r="D110" s="1348">
        <v>1</v>
      </c>
      <c r="E110" s="1324" t="str">
        <f t="shared" si="0"/>
        <v>3.1 Technical Assistance Fees/Consultants</v>
      </c>
      <c r="F110" s="1324"/>
      <c r="G110" s="1324" t="s">
        <v>1454</v>
      </c>
    </row>
    <row r="111" spans="2:7" s="1050" customFormat="1" x14ac:dyDescent="0.2">
      <c r="B111" s="1325" t="s">
        <v>1455</v>
      </c>
      <c r="C111" s="1348">
        <v>3</v>
      </c>
      <c r="D111" s="1348">
        <v>2</v>
      </c>
      <c r="E111" s="1324" t="str">
        <f t="shared" si="0"/>
        <v>3.2 Fiscal/Fiduciary Agent fees</v>
      </c>
      <c r="F111" s="1324"/>
      <c r="G111" s="1324" t="s">
        <v>1456</v>
      </c>
    </row>
    <row r="112" spans="2:7" s="1050" customFormat="1" x14ac:dyDescent="0.2">
      <c r="B112" s="1325" t="s">
        <v>1457</v>
      </c>
      <c r="C112" s="1348">
        <v>3</v>
      </c>
      <c r="D112" s="1348">
        <v>3</v>
      </c>
      <c r="E112" s="1324" t="str">
        <f t="shared" si="0"/>
        <v>3.3 External audit fees</v>
      </c>
      <c r="F112" s="1324"/>
      <c r="G112" s="1324" t="s">
        <v>1458</v>
      </c>
    </row>
    <row r="113" spans="2:7" s="1050" customFormat="1" x14ac:dyDescent="0.2">
      <c r="B113" s="1325" t="s">
        <v>1459</v>
      </c>
      <c r="C113" s="1348">
        <v>3</v>
      </c>
      <c r="D113" s="1348">
        <v>4</v>
      </c>
      <c r="E113" s="1324" t="str">
        <f t="shared" si="0"/>
        <v>3.4 Other external professional services</v>
      </c>
      <c r="F113" s="1324"/>
      <c r="G113" s="1324" t="s">
        <v>1460</v>
      </c>
    </row>
    <row r="114" spans="2:7" s="1050" customFormat="1" x14ac:dyDescent="0.2">
      <c r="B114" s="1325" t="s">
        <v>1461</v>
      </c>
      <c r="C114" s="1348">
        <v>3</v>
      </c>
      <c r="D114" s="1348">
        <v>5</v>
      </c>
      <c r="E114" s="1324" t="str">
        <f t="shared" si="0"/>
        <v>3.5 Insurance related costs (EPS)</v>
      </c>
      <c r="F114" s="1324"/>
      <c r="G114" s="1324" t="s">
        <v>1462</v>
      </c>
    </row>
    <row r="115" spans="2:7" s="1050" customFormat="1" x14ac:dyDescent="0.2">
      <c r="B115" s="1325" t="s">
        <v>1463</v>
      </c>
      <c r="C115" s="1348">
        <v>4</v>
      </c>
      <c r="D115" s="1348">
        <v>0</v>
      </c>
      <c r="E115" s="1324" t="str">
        <f t="shared" si="0"/>
        <v>4.0 Health Products - Pharmaceutical Products (HPPP)</v>
      </c>
      <c r="F115" s="1324"/>
      <c r="G115" s="1324" t="s">
        <v>1464</v>
      </c>
    </row>
    <row r="116" spans="2:7" s="1050" customFormat="1" x14ac:dyDescent="0.2">
      <c r="B116" s="1325" t="s">
        <v>1465</v>
      </c>
      <c r="C116" s="1348">
        <v>4</v>
      </c>
      <c r="D116" s="1348">
        <v>1</v>
      </c>
      <c r="E116" s="1324" t="str">
        <f t="shared" si="0"/>
        <v>4.1 Antiretroviral medicines</v>
      </c>
      <c r="F116" s="1324"/>
      <c r="G116" s="1324" t="s">
        <v>1466</v>
      </c>
    </row>
    <row r="117" spans="2:7" s="1050" customFormat="1" x14ac:dyDescent="0.2">
      <c r="B117" s="1325" t="s">
        <v>1467</v>
      </c>
      <c r="C117" s="1348">
        <v>4</v>
      </c>
      <c r="D117" s="1348">
        <v>2</v>
      </c>
      <c r="E117" s="1324" t="str">
        <f t="shared" si="0"/>
        <v>4.2 Anti-tuberculosis medicines</v>
      </c>
      <c r="F117" s="1324"/>
      <c r="G117" s="1324" t="s">
        <v>1468</v>
      </c>
    </row>
    <row r="118" spans="2:7" s="1050" customFormat="1" x14ac:dyDescent="0.2">
      <c r="B118" s="1325" t="s">
        <v>1469</v>
      </c>
      <c r="C118" s="1348">
        <v>4</v>
      </c>
      <c r="D118" s="1348">
        <v>3</v>
      </c>
      <c r="E118" s="1324" t="str">
        <f t="shared" si="0"/>
        <v>4.3 Antimalarial medicines</v>
      </c>
      <c r="F118" s="1324"/>
      <c r="G118" s="1324" t="s">
        <v>1470</v>
      </c>
    </row>
    <row r="119" spans="2:7" s="1050" customFormat="1" x14ac:dyDescent="0.2">
      <c r="B119" s="1325" t="s">
        <v>1471</v>
      </c>
      <c r="C119" s="1348">
        <v>4</v>
      </c>
      <c r="D119" s="1348">
        <v>4</v>
      </c>
      <c r="E119" s="1324" t="str">
        <f t="shared" si="0"/>
        <v>4.4 Opioid substitution medicines</v>
      </c>
      <c r="F119" s="1324"/>
      <c r="G119" s="1324" t="s">
        <v>1472</v>
      </c>
    </row>
    <row r="120" spans="2:7" s="1050" customFormat="1" x14ac:dyDescent="0.2">
      <c r="B120" s="1325" t="s">
        <v>1473</v>
      </c>
      <c r="C120" s="1348">
        <v>4</v>
      </c>
      <c r="D120" s="1348">
        <v>5</v>
      </c>
      <c r="E120" s="1324" t="str">
        <f t="shared" si="0"/>
        <v>4.5 Opportunistic infections and STI medicines</v>
      </c>
      <c r="F120" s="1324"/>
      <c r="G120" s="1324" t="s">
        <v>1474</v>
      </c>
    </row>
    <row r="121" spans="2:7" s="1050" customFormat="1" x14ac:dyDescent="0.2">
      <c r="B121" s="1325" t="s">
        <v>1475</v>
      </c>
      <c r="C121" s="1348">
        <v>4</v>
      </c>
      <c r="D121" s="1348">
        <v>6</v>
      </c>
      <c r="E121" s="1324" t="str">
        <f t="shared" si="0"/>
        <v>4.6 Private Sector subsidies for ACTs (co-payment to 4.3)</v>
      </c>
      <c r="F121" s="1324"/>
      <c r="G121" s="1324" t="s">
        <v>1476</v>
      </c>
    </row>
    <row r="122" spans="2:7" s="1050" customFormat="1" x14ac:dyDescent="0.2">
      <c r="B122" s="1325" t="s">
        <v>1477</v>
      </c>
      <c r="C122" s="1348">
        <v>4</v>
      </c>
      <c r="D122" s="1348">
        <v>7</v>
      </c>
      <c r="E122" s="1324" t="str">
        <f t="shared" si="0"/>
        <v>4.7 Other medicines</v>
      </c>
      <c r="F122" s="1324"/>
      <c r="G122" s="1324" t="s">
        <v>1478</v>
      </c>
    </row>
    <row r="123" spans="2:7" s="1050" customFormat="1" x14ac:dyDescent="0.2">
      <c r="B123" s="1325" t="s">
        <v>1479</v>
      </c>
      <c r="C123" s="1348">
        <v>5</v>
      </c>
      <c r="D123" s="1348">
        <v>0</v>
      </c>
      <c r="E123" s="1324" t="str">
        <f t="shared" si="0"/>
        <v>5.0 Health Products - Non-Pharmaceuticals (HPNP)</v>
      </c>
      <c r="F123" s="1324"/>
      <c r="G123" s="1324" t="s">
        <v>1480</v>
      </c>
    </row>
    <row r="124" spans="2:7" s="1050" customFormat="1" x14ac:dyDescent="0.2">
      <c r="B124" s="1325" t="s">
        <v>1481</v>
      </c>
      <c r="C124" s="1348">
        <v>5</v>
      </c>
      <c r="D124" s="1348">
        <v>1</v>
      </c>
      <c r="E124" s="1324" t="str">
        <f t="shared" si="0"/>
        <v>5.1 Insecticide-treated Nets (LLINs/ITNs)</v>
      </c>
      <c r="F124" s="1324"/>
      <c r="G124" s="1324" t="s">
        <v>1482</v>
      </c>
    </row>
    <row r="125" spans="2:7" s="1050" customFormat="1" x14ac:dyDescent="0.2">
      <c r="B125" s="1325" t="s">
        <v>1483</v>
      </c>
      <c r="C125" s="1348">
        <v>5</v>
      </c>
      <c r="D125" s="1348">
        <v>2</v>
      </c>
      <c r="E125" s="1324" t="str">
        <f t="shared" si="0"/>
        <v>5.2 Condoms - Male</v>
      </c>
      <c r="F125" s="1324"/>
      <c r="G125" s="1324" t="s">
        <v>1484</v>
      </c>
    </row>
    <row r="126" spans="2:7" s="1050" customFormat="1" x14ac:dyDescent="0.2">
      <c r="B126" s="1325" t="s">
        <v>1485</v>
      </c>
      <c r="C126" s="1348">
        <v>5</v>
      </c>
      <c r="D126" s="1348">
        <v>3</v>
      </c>
      <c r="E126" s="1324" t="str">
        <f t="shared" si="0"/>
        <v>5.3 Condoms - Female</v>
      </c>
      <c r="F126" s="1324"/>
      <c r="G126" s="1324" t="s">
        <v>1486</v>
      </c>
    </row>
    <row r="127" spans="2:7" s="1050" customFormat="1" x14ac:dyDescent="0.2">
      <c r="B127" s="1325" t="s">
        <v>1487</v>
      </c>
      <c r="C127" s="1348">
        <v>5</v>
      </c>
      <c r="D127" s="1348">
        <v>4</v>
      </c>
      <c r="E127" s="1324" t="str">
        <f t="shared" si="0"/>
        <v>5.4 Rapid Diagnostic Test</v>
      </c>
      <c r="F127" s="1324"/>
      <c r="G127" s="1324" t="s">
        <v>1488</v>
      </c>
    </row>
    <row r="128" spans="2:7" s="1050" customFormat="1" x14ac:dyDescent="0.2">
      <c r="B128" s="1325" t="s">
        <v>1489</v>
      </c>
      <c r="C128" s="1348">
        <v>5</v>
      </c>
      <c r="D128" s="1348">
        <v>5</v>
      </c>
      <c r="E128" s="1324" t="str">
        <f t="shared" si="0"/>
        <v>5.5 Insecticides</v>
      </c>
      <c r="F128" s="1324"/>
      <c r="G128" s="1324" t="s">
        <v>1490</v>
      </c>
    </row>
    <row r="129" spans="2:7" s="1050" customFormat="1" x14ac:dyDescent="0.2">
      <c r="B129" s="1325" t="s">
        <v>1491</v>
      </c>
      <c r="C129" s="1348">
        <v>5</v>
      </c>
      <c r="D129" s="1348">
        <v>6</v>
      </c>
      <c r="E129" s="1324" t="str">
        <f t="shared" si="0"/>
        <v>5.6 Laboratory reagents</v>
      </c>
      <c r="F129" s="1324"/>
      <c r="G129" s="1324" t="s">
        <v>1492</v>
      </c>
    </row>
    <row r="130" spans="2:7" s="1050" customFormat="1" x14ac:dyDescent="0.2">
      <c r="B130" s="1325" t="s">
        <v>1493</v>
      </c>
      <c r="C130" s="1348">
        <v>5</v>
      </c>
      <c r="D130" s="1348">
        <v>7</v>
      </c>
      <c r="E130" s="1324" t="str">
        <f t="shared" si="0"/>
        <v>5.7 Syringes and needles</v>
      </c>
      <c r="F130" s="1324"/>
      <c r="G130" s="1324" t="s">
        <v>1494</v>
      </c>
    </row>
    <row r="131" spans="2:7" s="1050" customFormat="1" x14ac:dyDescent="0.2">
      <c r="B131" s="1325" t="s">
        <v>1495</v>
      </c>
      <c r="C131" s="1348">
        <v>5</v>
      </c>
      <c r="D131" s="1348">
        <v>8</v>
      </c>
      <c r="E131" s="1324" t="str">
        <f t="shared" si="0"/>
        <v>5.8 Other consumables</v>
      </c>
      <c r="F131" s="1324"/>
      <c r="G131" s="1324" t="s">
        <v>1496</v>
      </c>
    </row>
    <row r="132" spans="2:7" s="1050" customFormat="1" x14ac:dyDescent="0.2">
      <c r="B132" s="1325" t="s">
        <v>1497</v>
      </c>
      <c r="C132" s="1348">
        <v>5</v>
      </c>
      <c r="D132" s="1348">
        <v>9</v>
      </c>
      <c r="E132" s="1324" t="str">
        <f t="shared" si="0"/>
        <v>5.9 Private Sector subsidies for RDTs (co-payment to 5.4)</v>
      </c>
      <c r="F132" s="1324"/>
      <c r="G132" s="1324" t="s">
        <v>1498</v>
      </c>
    </row>
    <row r="133" spans="2:7" s="1050" customFormat="1" x14ac:dyDescent="0.2">
      <c r="B133" s="1325" t="s">
        <v>1499</v>
      </c>
      <c r="C133" s="1348">
        <v>6</v>
      </c>
      <c r="D133" s="1348">
        <v>0</v>
      </c>
      <c r="E133" s="1324" t="str">
        <f t="shared" si="0"/>
        <v>6.0 Health Products - Equipment (HPE)</v>
      </c>
      <c r="F133" s="1324"/>
      <c r="G133" s="1324" t="s">
        <v>1500</v>
      </c>
    </row>
    <row r="134" spans="2:7" s="1050" customFormat="1" x14ac:dyDescent="0.2">
      <c r="B134" s="1325" t="s">
        <v>1501</v>
      </c>
      <c r="C134" s="1348">
        <v>6</v>
      </c>
      <c r="D134" s="1348">
        <v>1</v>
      </c>
      <c r="E134" s="1324" t="str">
        <f t="shared" si="0"/>
        <v>6.1 CD4 analyser/accessories</v>
      </c>
      <c r="F134" s="1324"/>
      <c r="G134" s="1324" t="s">
        <v>1502</v>
      </c>
    </row>
    <row r="135" spans="2:7" s="1050" customFormat="1" x14ac:dyDescent="0.2">
      <c r="B135" s="1325" t="s">
        <v>1503</v>
      </c>
      <c r="C135" s="1348">
        <v>6</v>
      </c>
      <c r="D135" s="1348">
        <v>2</v>
      </c>
      <c r="E135" s="1324" t="str">
        <f t="shared" si="0"/>
        <v>6.2 HIV Viral Load analyser/accessories</v>
      </c>
      <c r="F135" s="1324"/>
      <c r="G135" s="1324" t="s">
        <v>1504</v>
      </c>
    </row>
    <row r="136" spans="2:7" s="1050" customFormat="1" x14ac:dyDescent="0.2">
      <c r="B136" s="1325" t="s">
        <v>1505</v>
      </c>
      <c r="C136" s="1348">
        <v>6</v>
      </c>
      <c r="D136" s="1348">
        <v>3</v>
      </c>
      <c r="E136" s="1324" t="str">
        <f t="shared" si="0"/>
        <v>6.3 Microscopes</v>
      </c>
      <c r="F136" s="1324"/>
      <c r="G136" s="1324" t="s">
        <v>1506</v>
      </c>
    </row>
    <row r="137" spans="2:7" s="1050" customFormat="1" x14ac:dyDescent="0.2">
      <c r="B137" s="1325" t="s">
        <v>1507</v>
      </c>
      <c r="C137" s="1348">
        <v>6</v>
      </c>
      <c r="D137" s="1348">
        <v>4</v>
      </c>
      <c r="E137" s="1324" t="str">
        <f t="shared" si="0"/>
        <v>6.4 TB Molecular Test equipment</v>
      </c>
      <c r="F137" s="1324"/>
      <c r="G137" s="1324" t="s">
        <v>1508</v>
      </c>
    </row>
    <row r="138" spans="2:7" s="1050" customFormat="1" x14ac:dyDescent="0.2">
      <c r="B138" s="1325" t="s">
        <v>1509</v>
      </c>
      <c r="C138" s="1348">
        <v>6</v>
      </c>
      <c r="D138" s="1348">
        <v>5</v>
      </c>
      <c r="E138" s="1324" t="str">
        <f t="shared" si="0"/>
        <v>6.5 Maintenance and service costs for health equipment</v>
      </c>
      <c r="F138" s="1324"/>
      <c r="G138" s="1324" t="s">
        <v>1510</v>
      </c>
    </row>
    <row r="139" spans="2:7" s="1050" customFormat="1" x14ac:dyDescent="0.2">
      <c r="B139" s="1325" t="s">
        <v>1511</v>
      </c>
      <c r="C139" s="1348">
        <v>6</v>
      </c>
      <c r="D139" s="1348">
        <v>6</v>
      </c>
      <c r="E139" s="1324" t="str">
        <f t="shared" si="0"/>
        <v>6.6 Other health equipment</v>
      </c>
      <c r="F139" s="1324"/>
      <c r="G139" s="1324" t="s">
        <v>1512</v>
      </c>
    </row>
    <row r="140" spans="2:7" s="1050" customFormat="1" x14ac:dyDescent="0.2">
      <c r="B140" s="1325" t="s">
        <v>1513</v>
      </c>
      <c r="C140" s="1348">
        <v>7</v>
      </c>
      <c r="D140" s="1348">
        <v>0</v>
      </c>
      <c r="E140" s="1324" t="str">
        <f t="shared" si="0"/>
        <v>7.0 Procurement and Supply-Chain Management costs (PSM)</v>
      </c>
      <c r="F140" s="1324"/>
      <c r="G140" s="1324" t="s">
        <v>1514</v>
      </c>
    </row>
    <row r="141" spans="2:7" s="1050" customFormat="1" x14ac:dyDescent="0.2">
      <c r="B141" s="1325" t="s">
        <v>1515</v>
      </c>
      <c r="C141" s="1348">
        <v>7</v>
      </c>
      <c r="D141" s="1348">
        <v>1</v>
      </c>
      <c r="E141" s="1324" t="str">
        <f t="shared" si="0"/>
        <v>7.1 Procurement agent and handling fees</v>
      </c>
      <c r="F141" s="1324"/>
      <c r="G141" s="1324" t="s">
        <v>1516</v>
      </c>
    </row>
    <row r="142" spans="2:7" s="1050" customFormat="1" x14ac:dyDescent="0.2">
      <c r="B142" s="1325" t="s">
        <v>1517</v>
      </c>
      <c r="C142" s="1348">
        <v>7</v>
      </c>
      <c r="D142" s="1348">
        <v>2</v>
      </c>
      <c r="E142" s="1324" t="str">
        <f t="shared" si="0"/>
        <v>7.2 Freight and insurance costs (Health products)</v>
      </c>
      <c r="F142" s="1324"/>
      <c r="G142" s="1324" t="s">
        <v>1518</v>
      </c>
    </row>
    <row r="143" spans="2:7" s="1050" customFormat="1" x14ac:dyDescent="0.2">
      <c r="B143" s="1325" t="s">
        <v>1519</v>
      </c>
      <c r="C143" s="1348">
        <v>7</v>
      </c>
      <c r="D143" s="1348">
        <v>3</v>
      </c>
      <c r="E143" s="1324" t="str">
        <f t="shared" si="0"/>
        <v>7.3 Warehouse and Storage Costs</v>
      </c>
      <c r="F143" s="1324"/>
      <c r="G143" s="1324" t="s">
        <v>1520</v>
      </c>
    </row>
    <row r="144" spans="2:7" s="1050" customFormat="1" x14ac:dyDescent="0.2">
      <c r="B144" s="1325" t="s">
        <v>1521</v>
      </c>
      <c r="C144" s="1348">
        <v>7</v>
      </c>
      <c r="D144" s="1348">
        <v>4</v>
      </c>
      <c r="E144" s="1324" t="str">
        <f t="shared" si="0"/>
        <v>7.4 In-country distribution costs</v>
      </c>
      <c r="F144" s="1324"/>
      <c r="G144" s="1324" t="s">
        <v>1522</v>
      </c>
    </row>
    <row r="145" spans="2:7" s="1050" customFormat="1" x14ac:dyDescent="0.2">
      <c r="B145" s="1325" t="s">
        <v>1523</v>
      </c>
      <c r="C145" s="1348">
        <v>7</v>
      </c>
      <c r="D145" s="1348">
        <v>5</v>
      </c>
      <c r="E145" s="1324" t="str">
        <f t="shared" si="0"/>
        <v>7.5 Quality assurance and quality control costs (QA/QC)</v>
      </c>
      <c r="F145" s="1324"/>
      <c r="G145" s="1324" t="s">
        <v>1524</v>
      </c>
    </row>
    <row r="146" spans="2:7" s="1050" customFormat="1" x14ac:dyDescent="0.2">
      <c r="B146" s="1325" t="s">
        <v>1525</v>
      </c>
      <c r="C146" s="1348">
        <v>7</v>
      </c>
      <c r="D146" s="1348">
        <v>6</v>
      </c>
      <c r="E146" s="1324" t="str">
        <f t="shared" si="0"/>
        <v>7.6 PSM Customs Clearance</v>
      </c>
      <c r="F146" s="1324"/>
      <c r="G146" s="1324" t="s">
        <v>1526</v>
      </c>
    </row>
    <row r="147" spans="2:7" s="1050" customFormat="1" x14ac:dyDescent="0.2">
      <c r="B147" s="1325" t="s">
        <v>1527</v>
      </c>
      <c r="C147" s="1348">
        <v>7</v>
      </c>
      <c r="D147" s="1348">
        <v>7</v>
      </c>
      <c r="E147" s="1324" t="str">
        <f t="shared" si="0"/>
        <v>7.7 Other PSM costs</v>
      </c>
      <c r="F147" s="1324"/>
      <c r="G147" s="1324" t="s">
        <v>1528</v>
      </c>
    </row>
    <row r="148" spans="2:7" s="1050" customFormat="1" x14ac:dyDescent="0.2">
      <c r="B148" s="1325" t="s">
        <v>1529</v>
      </c>
      <c r="C148" s="1348">
        <v>8</v>
      </c>
      <c r="D148" s="1348">
        <v>0</v>
      </c>
      <c r="E148" s="1324" t="str">
        <f t="shared" si="0"/>
        <v>8.0 Infrastructure (INF)</v>
      </c>
      <c r="F148" s="1324"/>
      <c r="G148" s="1324" t="s">
        <v>1530</v>
      </c>
    </row>
    <row r="149" spans="2:7" s="1050" customFormat="1" x14ac:dyDescent="0.2">
      <c r="B149" s="1325" t="s">
        <v>1531</v>
      </c>
      <c r="C149" s="1348">
        <v>8</v>
      </c>
      <c r="D149" s="1348">
        <v>1</v>
      </c>
      <c r="E149" s="1324" t="str">
        <f t="shared" si="0"/>
        <v>8.1 Furniture</v>
      </c>
      <c r="F149" s="1324"/>
      <c r="G149" s="1324" t="s">
        <v>1532</v>
      </c>
    </row>
    <row r="150" spans="2:7" s="1050" customFormat="1" x14ac:dyDescent="0.2">
      <c r="B150" s="1325" t="s">
        <v>1533</v>
      </c>
      <c r="C150" s="1348">
        <v>8</v>
      </c>
      <c r="D150" s="1348">
        <v>2</v>
      </c>
      <c r="E150" s="1324" t="str">
        <f t="shared" si="0"/>
        <v>8.2 Renovation/constructions</v>
      </c>
      <c r="F150" s="1324"/>
      <c r="G150" s="1324" t="s">
        <v>1534</v>
      </c>
    </row>
    <row r="151" spans="2:7" s="1050" customFormat="1" x14ac:dyDescent="0.2">
      <c r="B151" s="1325" t="s">
        <v>1535</v>
      </c>
      <c r="C151" s="1348">
        <v>8</v>
      </c>
      <c r="D151" s="1348">
        <v>3</v>
      </c>
      <c r="E151" s="1324" t="str">
        <f t="shared" si="0"/>
        <v>8.3 Infrastructure maintenance and other INF costs</v>
      </c>
      <c r="F151" s="1324"/>
      <c r="G151" s="1324" t="s">
        <v>1536</v>
      </c>
    </row>
    <row r="152" spans="2:7" s="1050" customFormat="1" x14ac:dyDescent="0.2">
      <c r="B152" s="1325" t="s">
        <v>1537</v>
      </c>
      <c r="C152" s="1348">
        <v>9</v>
      </c>
      <c r="D152" s="1348">
        <v>0</v>
      </c>
      <c r="E152" s="1324" t="str">
        <f t="shared" si="0"/>
        <v>9.0 Non-health equipment (NHP)</v>
      </c>
      <c r="F152" s="1324"/>
      <c r="G152" s="1324" t="s">
        <v>1538</v>
      </c>
    </row>
    <row r="153" spans="2:7" s="1050" customFormat="1" x14ac:dyDescent="0.2">
      <c r="B153" s="1325" t="s">
        <v>1539</v>
      </c>
      <c r="C153" s="1348">
        <v>9</v>
      </c>
      <c r="D153" s="1348">
        <v>1</v>
      </c>
      <c r="E153" s="1324" t="str">
        <f t="shared" si="0"/>
        <v>9.1 IT - Computers, computer equipment, Software and applications</v>
      </c>
      <c r="F153" s="1324"/>
      <c r="G153" s="1324" t="s">
        <v>1540</v>
      </c>
    </row>
    <row r="154" spans="2:7" s="1050" customFormat="1" x14ac:dyDescent="0.2">
      <c r="B154" s="1325" t="s">
        <v>1541</v>
      </c>
      <c r="C154" s="1348">
        <v>9</v>
      </c>
      <c r="D154" s="1348">
        <v>2</v>
      </c>
      <c r="E154" s="1324" t="str">
        <f t="shared" si="0"/>
        <v>9.2 Vehicles</v>
      </c>
      <c r="F154" s="1324"/>
      <c r="G154" s="1324" t="s">
        <v>1542</v>
      </c>
    </row>
    <row r="155" spans="2:7" s="1050" customFormat="1" x14ac:dyDescent="0.2">
      <c r="B155" s="1325" t="s">
        <v>1543</v>
      </c>
      <c r="C155" s="1348">
        <v>9</v>
      </c>
      <c r="D155" s="1348">
        <v>3</v>
      </c>
      <c r="E155" s="1324" t="str">
        <f t="shared" si="0"/>
        <v>9.3 Other non-health equipment</v>
      </c>
      <c r="F155" s="1324"/>
      <c r="G155" s="1324" t="s">
        <v>1544</v>
      </c>
    </row>
    <row r="156" spans="2:7" s="1050" customFormat="1" x14ac:dyDescent="0.2">
      <c r="B156" s="1325" t="s">
        <v>1545</v>
      </c>
      <c r="C156" s="1348">
        <v>9</v>
      </c>
      <c r="D156" s="1348">
        <v>4</v>
      </c>
      <c r="E156" s="1324" t="str">
        <f t="shared" si="0"/>
        <v>9.4 Maintenance and service costs non-health equipment</v>
      </c>
      <c r="F156" s="1324"/>
      <c r="G156" s="1324" t="s">
        <v>1546</v>
      </c>
    </row>
    <row r="157" spans="2:7" s="1050" customFormat="1" x14ac:dyDescent="0.2">
      <c r="B157" s="1325" t="s">
        <v>1547</v>
      </c>
      <c r="C157" s="1348">
        <v>10</v>
      </c>
      <c r="D157" s="1348">
        <v>0</v>
      </c>
      <c r="E157" s="1324" t="str">
        <f t="shared" si="0"/>
        <v>10.0 Communication Material and Publications (CMP)</v>
      </c>
      <c r="F157" s="1324"/>
      <c r="G157" s="1324" t="s">
        <v>1548</v>
      </c>
    </row>
    <row r="158" spans="2:7" s="1050" customFormat="1" x14ac:dyDescent="0.2">
      <c r="B158" s="1325" t="s">
        <v>1549</v>
      </c>
      <c r="C158" s="1348">
        <v>10</v>
      </c>
      <c r="D158" s="1348">
        <v>1</v>
      </c>
      <c r="E158" s="1324" t="str">
        <f t="shared" si="0"/>
        <v>10.1 Printed materials (forms, books, guidelines, brochure, leaflets...)</v>
      </c>
      <c r="F158" s="1324"/>
      <c r="G158" s="1324" t="s">
        <v>1550</v>
      </c>
    </row>
    <row r="159" spans="2:7" s="1050" customFormat="1" x14ac:dyDescent="0.2">
      <c r="B159" s="1325" t="s">
        <v>1551</v>
      </c>
      <c r="C159" s="1348">
        <v>10</v>
      </c>
      <c r="D159" s="1348">
        <v>2</v>
      </c>
      <c r="E159" s="1324" t="str">
        <f t="shared" si="0"/>
        <v>10.2 Television/Radio spots and programmes</v>
      </c>
      <c r="F159" s="1324"/>
      <c r="G159" s="1324" t="s">
        <v>1552</v>
      </c>
    </row>
    <row r="160" spans="2:7" s="1050" customFormat="1" x14ac:dyDescent="0.2">
      <c r="B160" s="1325" t="s">
        <v>1553</v>
      </c>
      <c r="C160" s="1348">
        <v>10</v>
      </c>
      <c r="D160" s="1348">
        <v>3</v>
      </c>
      <c r="E160" s="1324" t="str">
        <f t="shared" si="0"/>
        <v>10.3 Promotional Material (t-shirts, mugs, pins...) and other CMP costs</v>
      </c>
      <c r="F160" s="1324"/>
      <c r="G160" s="1324" t="s">
        <v>1554</v>
      </c>
    </row>
    <row r="161" spans="2:7" s="1050" customFormat="1" x14ac:dyDescent="0.2">
      <c r="B161" s="1325" t="s">
        <v>1555</v>
      </c>
      <c r="C161" s="1348">
        <v>11</v>
      </c>
      <c r="D161" s="1348">
        <v>0</v>
      </c>
      <c r="E161" s="1324" t="str">
        <f t="shared" si="0"/>
        <v>11.0 Programme Administration costs (PA)</v>
      </c>
      <c r="F161" s="1324"/>
      <c r="G161" s="1324" t="s">
        <v>1556</v>
      </c>
    </row>
    <row r="162" spans="2:7" s="1050" customFormat="1" x14ac:dyDescent="0.2">
      <c r="B162" s="1325" t="s">
        <v>1557</v>
      </c>
      <c r="C162" s="1348">
        <v>11</v>
      </c>
      <c r="D162" s="1348">
        <v>1</v>
      </c>
      <c r="E162" s="1324" t="str">
        <f t="shared" ref="E162:E173" si="1">C162 &amp; "." &amp; D162 &amp; " " &amp; B162</f>
        <v>11.1 Office related costs</v>
      </c>
      <c r="F162" s="1324"/>
      <c r="G162" s="1324" t="s">
        <v>1558</v>
      </c>
    </row>
    <row r="163" spans="2:7" s="1050" customFormat="1" x14ac:dyDescent="0.2">
      <c r="B163" s="1325" t="s">
        <v>1559</v>
      </c>
      <c r="C163" s="1348">
        <v>11</v>
      </c>
      <c r="D163" s="1348">
        <v>2</v>
      </c>
      <c r="E163" s="1324" t="str">
        <f t="shared" si="1"/>
        <v>11.2 Unrecoverable taxes and duties</v>
      </c>
      <c r="F163" s="1324"/>
      <c r="G163" s="1324" t="s">
        <v>1560</v>
      </c>
    </row>
    <row r="164" spans="2:7" s="1050" customFormat="1" x14ac:dyDescent="0.2">
      <c r="B164" s="1325" t="s">
        <v>1561</v>
      </c>
      <c r="C164" s="1348">
        <v>11</v>
      </c>
      <c r="D164" s="1348">
        <v>3</v>
      </c>
      <c r="E164" s="1324" t="str">
        <f t="shared" si="1"/>
        <v>11.3 Indirect cost recovery (ICR) - % based</v>
      </c>
      <c r="F164" s="1324"/>
      <c r="G164" s="1324" t="s">
        <v>1562</v>
      </c>
    </row>
    <row r="165" spans="2:7" s="1050" customFormat="1" x14ac:dyDescent="0.2">
      <c r="B165" s="1325" t="s">
        <v>1563</v>
      </c>
      <c r="C165" s="1348">
        <v>11</v>
      </c>
      <c r="D165" s="1348">
        <v>4</v>
      </c>
      <c r="E165" s="1324" t="str">
        <f t="shared" si="1"/>
        <v>11.4 Other PA costs</v>
      </c>
      <c r="F165" s="1324"/>
      <c r="G165" s="1324" t="s">
        <v>1564</v>
      </c>
    </row>
    <row r="166" spans="2:7" s="1050" customFormat="1" x14ac:dyDescent="0.2">
      <c r="B166" s="1325" t="s">
        <v>1565</v>
      </c>
      <c r="C166" s="1348">
        <v>12</v>
      </c>
      <c r="D166" s="1348">
        <v>0</v>
      </c>
      <c r="E166" s="1324" t="str">
        <f t="shared" si="1"/>
        <v>12.0 Living support to client/ target population (LSCTP)</v>
      </c>
      <c r="F166" s="1324"/>
      <c r="G166" s="1324" t="s">
        <v>1566</v>
      </c>
    </row>
    <row r="167" spans="2:7" s="1050" customFormat="1" x14ac:dyDescent="0.2">
      <c r="B167" s="1325" t="s">
        <v>1567</v>
      </c>
      <c r="C167" s="1348">
        <v>12</v>
      </c>
      <c r="D167" s="1348">
        <v>1</v>
      </c>
      <c r="E167" s="1324" t="str">
        <f t="shared" si="1"/>
        <v>12.1 OVC Support (school fees, uniforms, books...)</v>
      </c>
      <c r="F167" s="1324"/>
      <c r="G167" s="1324" t="s">
        <v>1568</v>
      </c>
    </row>
    <row r="168" spans="2:7" s="1050" customFormat="1" x14ac:dyDescent="0.2">
      <c r="B168" s="1325" t="s">
        <v>1569</v>
      </c>
      <c r="C168" s="1348">
        <v>12</v>
      </c>
      <c r="D168" s="1348">
        <v>2</v>
      </c>
      <c r="E168" s="1324" t="str">
        <f t="shared" si="1"/>
        <v>12.2 Food and care packages</v>
      </c>
      <c r="F168" s="1324"/>
      <c r="G168" s="1324" t="s">
        <v>1570</v>
      </c>
    </row>
    <row r="169" spans="2:7" s="1050" customFormat="1" x14ac:dyDescent="0.2">
      <c r="B169" s="1325" t="s">
        <v>1571</v>
      </c>
      <c r="C169" s="1348">
        <v>12</v>
      </c>
      <c r="D169" s="1348">
        <v>3</v>
      </c>
      <c r="E169" s="1324" t="str">
        <f t="shared" si="1"/>
        <v>12.3 Cash incentives/transfer to patients/beneficiaries/counsellors/mediators</v>
      </c>
      <c r="F169" s="1324"/>
      <c r="G169" s="1324" t="s">
        <v>1572</v>
      </c>
    </row>
    <row r="170" spans="2:7" s="1050" customFormat="1" x14ac:dyDescent="0.2">
      <c r="B170" s="1325" t="s">
        <v>1573</v>
      </c>
      <c r="C170" s="1348">
        <v>12</v>
      </c>
      <c r="D170" s="1348">
        <v>4</v>
      </c>
      <c r="E170" s="1324" t="str">
        <f t="shared" si="1"/>
        <v>12.4 Micro-loans and micro-grants</v>
      </c>
      <c r="F170" s="1324"/>
      <c r="G170" s="1324" t="s">
        <v>1574</v>
      </c>
    </row>
    <row r="171" spans="2:7" s="1050" customFormat="1" x14ac:dyDescent="0.2">
      <c r="B171" s="1325" t="s">
        <v>1575</v>
      </c>
      <c r="C171" s="1348">
        <v>12</v>
      </c>
      <c r="D171" s="1348">
        <v>5</v>
      </c>
      <c r="E171" s="1324" t="str">
        <f t="shared" si="1"/>
        <v>12.5 Other LSCTP costs</v>
      </c>
      <c r="F171" s="1324"/>
      <c r="G171" s="1324" t="s">
        <v>1576</v>
      </c>
    </row>
    <row r="172" spans="2:7" s="1050" customFormat="1" x14ac:dyDescent="0.2">
      <c r="B172" s="1325" t="s">
        <v>1577</v>
      </c>
      <c r="C172" s="1348">
        <v>13</v>
      </c>
      <c r="D172" s="1348">
        <v>0</v>
      </c>
      <c r="E172" s="1324" t="str">
        <f t="shared" si="1"/>
        <v>13.0 Payment for Results</v>
      </c>
      <c r="F172" s="1324"/>
      <c r="G172" s="1324" t="s">
        <v>1578</v>
      </c>
    </row>
    <row r="173" spans="2:7" s="1050" customFormat="1" x14ac:dyDescent="0.2">
      <c r="B173" s="1325" t="s">
        <v>1577</v>
      </c>
      <c r="C173" s="1348">
        <v>13</v>
      </c>
      <c r="D173" s="1348">
        <v>1</v>
      </c>
      <c r="E173" s="1324" t="str">
        <f t="shared" si="1"/>
        <v>13.1 Payment for Results</v>
      </c>
      <c r="F173" s="1324"/>
      <c r="G173" s="1324" t="s">
        <v>1579</v>
      </c>
    </row>
  </sheetData>
  <dataValidations count="4">
    <dataValidation type="list" allowBlank="1" showInputMessage="1" showErrorMessage="1" sqref="J12:J25">
      <formula1>Module_List</formula1>
    </dataValidation>
    <dataValidation type="custom" allowBlank="1" showInputMessage="1" showErrorMessage="1" errorTitle="X-Author for Excel" error="Id and Lookup fields are not editable." promptTitle="X-Author for Excel" sqref="K12:K24 K30:K93 G97:G173">
      <formula1>""</formula1>
    </dataValidation>
    <dataValidation type="decimal" allowBlank="1" showInputMessage="1" showErrorMessage="1" errorTitle="X-Author for Excel" error="Please enter a valid numeric value. Valid range for Cost Grouping Number is -99999 to 99999." promptTitle="X-Author for Excel" sqref="C97:C173">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D97:D173">
      <formula1>-99999</formula1>
      <formula2>99999</formula2>
    </dataValidation>
  </dataValidations>
  <pageMargins left="0.7" right="0.7" top="0.75" bottom="0.75" header="0.3" footer="0.3"/>
  <pageSetup orientation="portrait"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3" tint="0.79998168889431442"/>
  </sheetPr>
  <dimension ref="A1:U71"/>
  <sheetViews>
    <sheetView showGridLines="0" view="pageBreakPreview" zoomScale="70" zoomScaleNormal="60" zoomScaleSheetLayoutView="70" workbookViewId="0">
      <selection activeCell="E60" sqref="E60"/>
    </sheetView>
  </sheetViews>
  <sheetFormatPr defaultColWidth="9.140625" defaultRowHeight="12.75" x14ac:dyDescent="0.2"/>
  <cols>
    <col min="1" max="1" width="60.85546875" style="352" customWidth="1"/>
    <col min="2" max="2" width="52.140625" style="352" customWidth="1"/>
    <col min="3" max="6" width="19.85546875" style="352" customWidth="1"/>
    <col min="7" max="7" width="16.85546875" style="352" customWidth="1"/>
    <col min="8" max="8" width="50" style="352" customWidth="1"/>
    <col min="9" max="9" width="10.85546875" style="352" customWidth="1"/>
    <col min="10" max="12" width="19.85546875" style="352" customWidth="1"/>
    <col min="13" max="13" width="17.140625" style="352" customWidth="1"/>
    <col min="14" max="14" width="9.140625" style="358" hidden="1" customWidth="1"/>
    <col min="15" max="15" width="12.42578125" style="567" hidden="1" customWidth="1"/>
    <col min="16" max="16" width="9.5703125" style="358" hidden="1" customWidth="1"/>
    <col min="17" max="18" width="9.140625" style="358" hidden="1" customWidth="1"/>
    <col min="19" max="20" width="0" style="358" hidden="1" customWidth="1"/>
    <col min="21" max="16384" width="9.140625" style="358"/>
  </cols>
  <sheetData>
    <row r="1" spans="1:21" ht="46.5" customHeight="1" thickBot="1" x14ac:dyDescent="0.25">
      <c r="A1" s="1694" t="str">
        <f>IF(CoverSheet!J12="N/A","Progress Report","Progress Report with Disbursement Request")</f>
        <v>Progress Report with Disbursement Request</v>
      </c>
      <c r="B1" s="1694"/>
      <c r="C1" s="1694"/>
      <c r="D1" s="1694"/>
      <c r="E1" s="1694"/>
      <c r="F1" s="1694"/>
      <c r="G1" s="1694"/>
      <c r="H1" s="1694"/>
      <c r="I1" s="582"/>
    </row>
    <row r="2" spans="1:21" s="357" customFormat="1" ht="32.1" customHeight="1" thickBot="1" x14ac:dyDescent="0.25">
      <c r="A2" s="863" t="s">
        <v>270</v>
      </c>
      <c r="B2" s="852"/>
      <c r="C2" s="852"/>
      <c r="D2" s="852"/>
      <c r="E2" s="1699" t="str">
        <f>CoverSheet!F9</f>
        <v>Period of Financial Reporting</v>
      </c>
      <c r="F2" s="1700"/>
      <c r="G2" s="842" t="str">
        <f>CoverSheet!I9</f>
        <v>Beginning Date:</v>
      </c>
      <c r="H2" s="843">
        <f>IF(CoverSheet!J9="","N/A",CoverSheet!J9)</f>
        <v>42736</v>
      </c>
      <c r="I2" s="854" t="str">
        <f>CoverSheet!K9</f>
        <v>End Date:</v>
      </c>
      <c r="J2" s="855">
        <f>IF(CoverSheet!L9="","N/A",CoverSheet!L9)</f>
        <v>43100</v>
      </c>
      <c r="K2" s="860"/>
      <c r="L2" s="860"/>
      <c r="M2" s="861"/>
      <c r="O2" s="595"/>
      <c r="P2" s="596"/>
      <c r="Q2" s="596"/>
    </row>
    <row r="3" spans="1:21" ht="34.5" customHeight="1" thickBot="1" x14ac:dyDescent="0.25">
      <c r="A3" s="864" t="s">
        <v>542</v>
      </c>
      <c r="B3" s="853" t="s">
        <v>46</v>
      </c>
      <c r="C3" s="857"/>
      <c r="D3" s="857"/>
      <c r="E3" s="1701" t="s">
        <v>538</v>
      </c>
      <c r="F3" s="1702"/>
      <c r="G3" s="844" t="str">
        <f>CoverSheet!I9</f>
        <v>Beginning Date:</v>
      </c>
      <c r="H3" s="845">
        <f>IF(_00de7129_653b_4d69_830e_62f54dcfdb6c="","N/A",_00de7129_653b_4d69_830e_62f54dcfdb6c)</f>
        <v>42736</v>
      </c>
      <c r="I3" s="856" t="str">
        <f>CoverSheet!K9</f>
        <v>End Date:</v>
      </c>
      <c r="J3" s="858">
        <f>IF(CoverSheet!L9="","N/A",CoverSheet!L9)</f>
        <v>43100</v>
      </c>
      <c r="K3" s="857"/>
      <c r="L3" s="857"/>
      <c r="M3" s="862"/>
      <c r="N3" s="589"/>
      <c r="O3" s="590"/>
      <c r="P3" s="361"/>
      <c r="Q3" s="361"/>
    </row>
    <row r="4" spans="1:21" ht="28.9" customHeight="1" x14ac:dyDescent="0.2">
      <c r="A4" s="587" t="s">
        <v>604</v>
      </c>
      <c r="B4" s="109"/>
      <c r="C4" s="110"/>
      <c r="D4" s="110"/>
      <c r="E4" s="110"/>
      <c r="F4" s="111"/>
      <c r="G4" s="112"/>
      <c r="H4" s="112"/>
      <c r="I4" s="358"/>
      <c r="J4" s="112"/>
      <c r="K4" s="112"/>
      <c r="L4" s="112"/>
      <c r="M4" s="112"/>
      <c r="N4" s="361"/>
      <c r="O4" s="361"/>
      <c r="P4" s="361"/>
      <c r="Q4" s="361"/>
    </row>
    <row r="5" spans="1:21" ht="23.25" customHeight="1" thickBot="1" x14ac:dyDescent="0.25">
      <c r="A5" s="591"/>
      <c r="B5" s="593"/>
      <c r="C5" s="1094" t="s">
        <v>20</v>
      </c>
      <c r="D5" s="1094"/>
      <c r="E5" s="1094"/>
      <c r="F5" s="1094"/>
      <c r="G5" s="1094"/>
      <c r="H5" s="1094"/>
      <c r="I5" s="358"/>
      <c r="J5" s="1093" t="s">
        <v>136</v>
      </c>
      <c r="K5" s="1093"/>
      <c r="L5" s="1093"/>
      <c r="M5" s="1093"/>
      <c r="N5" s="361"/>
      <c r="O5" s="361"/>
      <c r="P5" s="361"/>
      <c r="Q5" s="361"/>
    </row>
    <row r="6" spans="1:21" ht="62.45" customHeight="1" x14ac:dyDescent="0.2">
      <c r="A6" s="1265" t="s">
        <v>603</v>
      </c>
      <c r="B6" s="522"/>
      <c r="C6" s="813" t="s">
        <v>40</v>
      </c>
      <c r="D6" s="813" t="s">
        <v>414</v>
      </c>
      <c r="E6" s="813" t="s">
        <v>395</v>
      </c>
      <c r="F6" s="813" t="s">
        <v>83</v>
      </c>
      <c r="G6" s="813" t="s">
        <v>614</v>
      </c>
      <c r="H6" s="813" t="s">
        <v>214</v>
      </c>
      <c r="I6" s="522"/>
      <c r="J6" s="813" t="s">
        <v>22</v>
      </c>
      <c r="K6" s="813" t="s">
        <v>137</v>
      </c>
      <c r="L6" s="813" t="s">
        <v>138</v>
      </c>
      <c r="M6" s="813" t="s">
        <v>614</v>
      </c>
      <c r="N6" s="1266"/>
      <c r="O6" s="1267" t="s">
        <v>356</v>
      </c>
      <c r="P6" s="1267" t="s">
        <v>556</v>
      </c>
      <c r="Q6" s="1112"/>
      <c r="R6" s="1113"/>
      <c r="S6" s="1113"/>
      <c r="T6" s="1113"/>
    </row>
    <row r="7" spans="1:21" ht="17.45" hidden="1" customHeight="1" x14ac:dyDescent="0.2">
      <c r="A7" s="1268" t="s">
        <v>544</v>
      </c>
      <c r="B7" s="522"/>
      <c r="C7" s="1269" t="s">
        <v>386</v>
      </c>
      <c r="D7" s="1269" t="str">
        <f>'PR Expenditure_7A'!D8</f>
        <v>[PR Actual Expenditure]</v>
      </c>
      <c r="E7" s="1270" t="s">
        <v>390</v>
      </c>
      <c r="F7" s="1269">
        <f>IFERROR((C7)-(D7+E7),0)</f>
        <v>0</v>
      </c>
      <c r="G7" s="1271" t="e">
        <f>IF(AND((C7)=0,(D7+E7)=0),"N/A",IF(AND((C7)=0,(D7+E7)&lt;&gt;0),"Not Budgeted",(D7+E7)/(C7)))</f>
        <v>#VALUE!</v>
      </c>
      <c r="H7" s="1052"/>
      <c r="I7" s="522"/>
      <c r="J7" s="1272" t="s">
        <v>387</v>
      </c>
      <c r="K7" s="1270" t="s">
        <v>391</v>
      </c>
      <c r="L7" s="1269">
        <f>IFERROR(J7-K7,0)</f>
        <v>0</v>
      </c>
      <c r="M7" s="1271" t="e">
        <f t="shared" ref="M7:M24" si="0">IF(AND(J7=0,K7=0),"N/A",IF(AND(J7=0,K7&lt;&gt;0),"Not Budgeted",K7/J7))</f>
        <v>#VALUE!</v>
      </c>
      <c r="N7" s="1273"/>
      <c r="O7" s="1267" t="s">
        <v>355</v>
      </c>
      <c r="P7" s="1274" t="s">
        <v>555</v>
      </c>
      <c r="Q7" s="1113"/>
      <c r="R7" s="1113"/>
      <c r="S7" s="1113"/>
      <c r="T7" s="1113"/>
      <c r="U7" s="1107"/>
    </row>
    <row r="8" spans="1:21" ht="17.45" customHeight="1" x14ac:dyDescent="0.2">
      <c r="A8" s="1268" t="s">
        <v>1039</v>
      </c>
      <c r="B8" s="522"/>
      <c r="C8" s="1269">
        <v>561181.93859999999</v>
      </c>
      <c r="D8" s="1269">
        <f>'PR Expenditure_7A'!D9</f>
        <v>392902.54380642099</v>
      </c>
      <c r="E8" s="1270"/>
      <c r="F8" s="1269">
        <f t="shared" ref="F8:F20" si="1">IFERROR((C8)-(D8+E8),0)</f>
        <v>168279.39479357901</v>
      </c>
      <c r="G8" s="1271">
        <f t="shared" ref="G8:G20" si="2">IF(AND((C8)=0,(D8+E8)=0),"N/A",IF(AND((C8)=0,(D8+E8)&lt;&gt;0),"Not Budgeted",(D8+E8)/(C8)))</f>
        <v>0.70013397934118937</v>
      </c>
      <c r="H8" s="1052"/>
      <c r="I8" s="522"/>
      <c r="J8" s="1272">
        <v>561181.93859999999</v>
      </c>
      <c r="K8" s="1270"/>
      <c r="L8" s="1269">
        <f t="shared" ref="L8:L20" si="3">IFERROR(J8-K8,0)</f>
        <v>561181.93859999999</v>
      </c>
      <c r="M8" s="1271">
        <f t="shared" si="0"/>
        <v>0</v>
      </c>
      <c r="N8" s="1273"/>
      <c r="O8" s="1267" t="s">
        <v>1040</v>
      </c>
      <c r="P8" s="1274">
        <v>1</v>
      </c>
      <c r="Q8" s="1113"/>
      <c r="R8" s="1113"/>
      <c r="S8" s="1113"/>
      <c r="T8" s="1113"/>
      <c r="U8" s="1107"/>
    </row>
    <row r="9" spans="1:21" ht="17.45" customHeight="1" x14ac:dyDescent="0.2">
      <c r="A9" s="1268" t="s">
        <v>1041</v>
      </c>
      <c r="B9" s="522"/>
      <c r="C9" s="1269">
        <v>382763.79929459997</v>
      </c>
      <c r="D9" s="1269">
        <f>'PR Expenditure_7A'!D10</f>
        <v>124388.67169278563</v>
      </c>
      <c r="E9" s="1270"/>
      <c r="F9" s="1269">
        <f t="shared" si="1"/>
        <v>258375.12760181434</v>
      </c>
      <c r="G9" s="1271">
        <f t="shared" si="2"/>
        <v>0.32497501571993753</v>
      </c>
      <c r="H9" s="1052"/>
      <c r="I9" s="522"/>
      <c r="J9" s="1272">
        <v>382763.79929459997</v>
      </c>
      <c r="K9" s="1270"/>
      <c r="L9" s="1269">
        <f t="shared" si="3"/>
        <v>382763.79929459997</v>
      </c>
      <c r="M9" s="1271">
        <f t="shared" si="0"/>
        <v>0</v>
      </c>
      <c r="N9" s="1273"/>
      <c r="O9" s="1267" t="s">
        <v>1042</v>
      </c>
      <c r="P9" s="1274">
        <v>2</v>
      </c>
      <c r="Q9" s="1113"/>
      <c r="R9" s="1113"/>
      <c r="S9" s="1113"/>
      <c r="T9" s="1113"/>
      <c r="U9" s="1107"/>
    </row>
    <row r="10" spans="1:21" ht="17.45" customHeight="1" x14ac:dyDescent="0.2">
      <c r="A10" s="1268" t="s">
        <v>1043</v>
      </c>
      <c r="B10" s="522"/>
      <c r="C10" s="1269">
        <v>560998.467466</v>
      </c>
      <c r="D10" s="1269">
        <f>'PR Expenditure_7A'!D11</f>
        <v>231734.60131894334</v>
      </c>
      <c r="E10" s="1270"/>
      <c r="F10" s="1269">
        <f t="shared" si="1"/>
        <v>329263.86614705669</v>
      </c>
      <c r="G10" s="1271">
        <f t="shared" si="2"/>
        <v>0.41307528408353078</v>
      </c>
      <c r="H10" s="1052"/>
      <c r="I10" s="522"/>
      <c r="J10" s="1272">
        <v>560998.467466</v>
      </c>
      <c r="K10" s="1270"/>
      <c r="L10" s="1269">
        <f t="shared" si="3"/>
        <v>560998.467466</v>
      </c>
      <c r="M10" s="1271">
        <f t="shared" si="0"/>
        <v>0</v>
      </c>
      <c r="N10" s="1273"/>
      <c r="O10" s="1267" t="s">
        <v>1044</v>
      </c>
      <c r="P10" s="1274">
        <v>3</v>
      </c>
      <c r="Q10" s="1113"/>
      <c r="R10" s="1113"/>
      <c r="S10" s="1113"/>
      <c r="T10" s="1113"/>
      <c r="U10" s="1107"/>
    </row>
    <row r="11" spans="1:21" ht="17.45" customHeight="1" x14ac:dyDescent="0.2">
      <c r="A11" s="1268" t="s">
        <v>1045</v>
      </c>
      <c r="B11" s="522"/>
      <c r="C11" s="1269">
        <v>766075.35869999998</v>
      </c>
      <c r="D11" s="1269">
        <f>'PR Expenditure_7A'!D12</f>
        <v>801214.67</v>
      </c>
      <c r="E11" s="1270"/>
      <c r="F11" s="1269">
        <f t="shared" si="1"/>
        <v>-35139.311300000059</v>
      </c>
      <c r="G11" s="1271">
        <f t="shared" si="2"/>
        <v>1.0458692619478456</v>
      </c>
      <c r="H11" s="1052"/>
      <c r="I11" s="522"/>
      <c r="J11" s="1272">
        <v>766075.35869999998</v>
      </c>
      <c r="K11" s="1270"/>
      <c r="L11" s="1269">
        <f t="shared" si="3"/>
        <v>766075.35869999998</v>
      </c>
      <c r="M11" s="1271">
        <f t="shared" si="0"/>
        <v>0</v>
      </c>
      <c r="N11" s="1273"/>
      <c r="O11" s="1267" t="s">
        <v>1046</v>
      </c>
      <c r="P11" s="1274">
        <v>4</v>
      </c>
      <c r="Q11" s="1113"/>
      <c r="R11" s="1113"/>
      <c r="S11" s="1113"/>
      <c r="T11" s="1113"/>
      <c r="U11" s="1107"/>
    </row>
    <row r="12" spans="1:21" ht="17.45" customHeight="1" x14ac:dyDescent="0.2">
      <c r="A12" s="1268" t="s">
        <v>1047</v>
      </c>
      <c r="B12" s="522"/>
      <c r="C12" s="1269">
        <v>542314.34120000002</v>
      </c>
      <c r="D12" s="1269">
        <f>'PR Expenditure_7A'!D13</f>
        <v>421697.83196105936</v>
      </c>
      <c r="E12" s="1270"/>
      <c r="F12" s="1269">
        <f t="shared" si="1"/>
        <v>120616.50923894066</v>
      </c>
      <c r="G12" s="1271">
        <f t="shared" si="2"/>
        <v>0.77758930554547423</v>
      </c>
      <c r="H12" s="1052"/>
      <c r="I12" s="522"/>
      <c r="J12" s="1272">
        <v>542314.34120000002</v>
      </c>
      <c r="K12" s="1270"/>
      <c r="L12" s="1269">
        <f t="shared" si="3"/>
        <v>542314.34120000002</v>
      </c>
      <c r="M12" s="1271">
        <f t="shared" si="0"/>
        <v>0</v>
      </c>
      <c r="N12" s="1273"/>
      <c r="O12" s="1267" t="s">
        <v>1048</v>
      </c>
      <c r="P12" s="1274">
        <v>5</v>
      </c>
      <c r="Q12" s="1113"/>
      <c r="R12" s="1113"/>
      <c r="S12" s="1113"/>
      <c r="T12" s="1113"/>
      <c r="U12" s="1107"/>
    </row>
    <row r="13" spans="1:21" ht="17.45" customHeight="1" x14ac:dyDescent="0.2">
      <c r="A13" s="1268" t="s">
        <v>1049</v>
      </c>
      <c r="B13" s="522"/>
      <c r="C13" s="1269">
        <v>1870670</v>
      </c>
      <c r="D13" s="1269">
        <f>'PR Expenditure_7A'!D14</f>
        <v>562719.60962526617</v>
      </c>
      <c r="E13" s="1270"/>
      <c r="F13" s="1269">
        <f t="shared" si="1"/>
        <v>1307950.3903747338</v>
      </c>
      <c r="G13" s="1271">
        <f t="shared" si="2"/>
        <v>0.30081179984992873</v>
      </c>
      <c r="H13" s="1052"/>
      <c r="I13" s="522"/>
      <c r="J13" s="1272">
        <v>1870670</v>
      </c>
      <c r="K13" s="1270"/>
      <c r="L13" s="1269">
        <f t="shared" si="3"/>
        <v>1870670</v>
      </c>
      <c r="M13" s="1271">
        <f t="shared" si="0"/>
        <v>0</v>
      </c>
      <c r="N13" s="1273"/>
      <c r="O13" s="1267" t="s">
        <v>1050</v>
      </c>
      <c r="P13" s="1274">
        <v>6</v>
      </c>
      <c r="Q13" s="1113"/>
      <c r="R13" s="1113"/>
      <c r="S13" s="1113"/>
      <c r="T13" s="1113"/>
      <c r="U13" s="1107"/>
    </row>
    <row r="14" spans="1:21" ht="17.45" customHeight="1" x14ac:dyDescent="0.2">
      <c r="A14" s="1268" t="s">
        <v>1051</v>
      </c>
      <c r="B14" s="522"/>
      <c r="C14" s="1269">
        <v>167149.98620000001</v>
      </c>
      <c r="D14" s="1269">
        <f>'PR Expenditure_7A'!D15</f>
        <v>56922.493199044366</v>
      </c>
      <c r="E14" s="1270"/>
      <c r="F14" s="1269">
        <f t="shared" si="1"/>
        <v>110227.49300095564</v>
      </c>
      <c r="G14" s="1271">
        <f t="shared" si="2"/>
        <v>0.34054739993178867</v>
      </c>
      <c r="H14" s="1052"/>
      <c r="I14" s="522"/>
      <c r="J14" s="1272">
        <v>167149.98620000001</v>
      </c>
      <c r="K14" s="1270"/>
      <c r="L14" s="1269">
        <f t="shared" si="3"/>
        <v>167149.98620000001</v>
      </c>
      <c r="M14" s="1271">
        <f t="shared" si="0"/>
        <v>0</v>
      </c>
      <c r="N14" s="1273"/>
      <c r="O14" s="1267" t="s">
        <v>1052</v>
      </c>
      <c r="P14" s="1274">
        <v>7</v>
      </c>
      <c r="Q14" s="1113"/>
      <c r="R14" s="1113"/>
      <c r="S14" s="1113"/>
      <c r="T14" s="1113"/>
      <c r="U14" s="1107"/>
    </row>
    <row r="15" spans="1:21" ht="17.45" customHeight="1" x14ac:dyDescent="0.2">
      <c r="A15" s="1268" t="s">
        <v>1053</v>
      </c>
      <c r="B15" s="522"/>
      <c r="C15" s="1269">
        <v>200649.46536100001</v>
      </c>
      <c r="D15" s="1269">
        <f>'PR Expenditure_7A'!D16</f>
        <v>3088.8642175529626</v>
      </c>
      <c r="E15" s="1270"/>
      <c r="F15" s="1269">
        <f t="shared" si="1"/>
        <v>197560.60114344704</v>
      </c>
      <c r="G15" s="1271">
        <f t="shared" si="2"/>
        <v>1.5394330665150835E-2</v>
      </c>
      <c r="H15" s="1052"/>
      <c r="I15" s="522"/>
      <c r="J15" s="1272">
        <v>200649.46536100001</v>
      </c>
      <c r="K15" s="1270"/>
      <c r="L15" s="1269">
        <f t="shared" si="3"/>
        <v>200649.46536100001</v>
      </c>
      <c r="M15" s="1271">
        <f t="shared" si="0"/>
        <v>0</v>
      </c>
      <c r="N15" s="1273"/>
      <c r="O15" s="1267" t="s">
        <v>1054</v>
      </c>
      <c r="P15" s="1274">
        <v>8</v>
      </c>
      <c r="Q15" s="1113"/>
      <c r="R15" s="1113"/>
      <c r="S15" s="1113"/>
      <c r="T15" s="1113"/>
      <c r="U15" s="1107"/>
    </row>
    <row r="16" spans="1:21" ht="17.45" customHeight="1" x14ac:dyDescent="0.2">
      <c r="A16" s="1268" t="s">
        <v>1055</v>
      </c>
      <c r="B16" s="522"/>
      <c r="C16" s="1269">
        <v>240389.5926222</v>
      </c>
      <c r="D16" s="1269">
        <f>'PR Expenditure_7A'!D17</f>
        <v>207594.93166751953</v>
      </c>
      <c r="E16" s="1270"/>
      <c r="F16" s="1269">
        <f t="shared" si="1"/>
        <v>32794.660954680468</v>
      </c>
      <c r="G16" s="1271">
        <f t="shared" si="2"/>
        <v>0.86357703510808359</v>
      </c>
      <c r="H16" s="1052"/>
      <c r="I16" s="522"/>
      <c r="J16" s="1272">
        <v>240389.5926222</v>
      </c>
      <c r="K16" s="1270"/>
      <c r="L16" s="1269">
        <f t="shared" si="3"/>
        <v>240389.5926222</v>
      </c>
      <c r="M16" s="1271">
        <f t="shared" si="0"/>
        <v>0</v>
      </c>
      <c r="N16" s="1273"/>
      <c r="O16" s="1267" t="s">
        <v>1056</v>
      </c>
      <c r="P16" s="1274">
        <v>9</v>
      </c>
      <c r="Q16" s="1113"/>
      <c r="R16" s="1113"/>
      <c r="S16" s="1113"/>
      <c r="T16" s="1113"/>
      <c r="U16" s="1107"/>
    </row>
    <row r="17" spans="1:21" ht="17.45" customHeight="1" x14ac:dyDescent="0.2">
      <c r="A17" s="1268" t="s">
        <v>1057</v>
      </c>
      <c r="B17" s="522"/>
      <c r="C17" s="1269">
        <v>3463.353392</v>
      </c>
      <c r="D17" s="1269">
        <f>'PR Expenditure_7A'!D18</f>
        <v>265.64389044065541</v>
      </c>
      <c r="E17" s="1270"/>
      <c r="F17" s="1269">
        <f t="shared" si="1"/>
        <v>3197.7095015593445</v>
      </c>
      <c r="G17" s="1271">
        <f t="shared" si="2"/>
        <v>7.670135281437529E-2</v>
      </c>
      <c r="H17" s="1052"/>
      <c r="I17" s="522"/>
      <c r="J17" s="1272">
        <v>3463.353392</v>
      </c>
      <c r="K17" s="1270"/>
      <c r="L17" s="1269">
        <f t="shared" si="3"/>
        <v>3463.353392</v>
      </c>
      <c r="M17" s="1271">
        <f t="shared" si="0"/>
        <v>0</v>
      </c>
      <c r="N17" s="1273"/>
      <c r="O17" s="1267" t="s">
        <v>1058</v>
      </c>
      <c r="P17" s="1274">
        <v>10</v>
      </c>
      <c r="Q17" s="1113"/>
      <c r="R17" s="1113"/>
      <c r="S17" s="1113"/>
      <c r="T17" s="1113"/>
      <c r="U17" s="1107"/>
    </row>
    <row r="18" spans="1:21" ht="17.45" customHeight="1" x14ac:dyDescent="0.2">
      <c r="A18" s="1268" t="s">
        <v>1059</v>
      </c>
      <c r="B18" s="522"/>
      <c r="C18" s="1269">
        <v>15033.6179056</v>
      </c>
      <c r="D18" s="1269">
        <f>'PR Expenditure_7A'!D19</f>
        <v>5398.4740191882665</v>
      </c>
      <c r="E18" s="1270"/>
      <c r="F18" s="1269">
        <f t="shared" si="1"/>
        <v>9635.1438864117335</v>
      </c>
      <c r="G18" s="1271">
        <f t="shared" si="2"/>
        <v>0.35909346992099239</v>
      </c>
      <c r="H18" s="1052"/>
      <c r="I18" s="522"/>
      <c r="J18" s="1272">
        <v>15033.6179056</v>
      </c>
      <c r="K18" s="1270"/>
      <c r="L18" s="1269">
        <f t="shared" si="3"/>
        <v>15033.6179056</v>
      </c>
      <c r="M18" s="1271">
        <f t="shared" si="0"/>
        <v>0</v>
      </c>
      <c r="N18" s="1273"/>
      <c r="O18" s="1267" t="s">
        <v>1060</v>
      </c>
      <c r="P18" s="1274">
        <v>11</v>
      </c>
      <c r="Q18" s="1113"/>
      <c r="R18" s="1113"/>
      <c r="S18" s="1113"/>
      <c r="T18" s="1113"/>
      <c r="U18" s="1107"/>
    </row>
    <row r="19" spans="1:21" ht="17.45" customHeight="1" x14ac:dyDescent="0.2">
      <c r="A19" s="1268" t="s">
        <v>1061</v>
      </c>
      <c r="B19" s="522"/>
      <c r="C19" s="1269">
        <v>378322.59404</v>
      </c>
      <c r="D19" s="1269">
        <f>'PR Expenditure_7A'!D20</f>
        <v>209184.02832109219</v>
      </c>
      <c r="E19" s="1270"/>
      <c r="F19" s="1269">
        <f t="shared" si="1"/>
        <v>169138.5657189078</v>
      </c>
      <c r="G19" s="1271">
        <f t="shared" si="2"/>
        <v>0.5529250211764386</v>
      </c>
      <c r="H19" s="1052"/>
      <c r="I19" s="522"/>
      <c r="J19" s="1272">
        <v>378322.59404</v>
      </c>
      <c r="K19" s="1270"/>
      <c r="L19" s="1269">
        <f t="shared" si="3"/>
        <v>378322.59404</v>
      </c>
      <c r="M19" s="1271">
        <f t="shared" si="0"/>
        <v>0</v>
      </c>
      <c r="N19" s="1273"/>
      <c r="O19" s="1267" t="s">
        <v>1062</v>
      </c>
      <c r="P19" s="1274">
        <v>12</v>
      </c>
      <c r="Q19" s="1113"/>
      <c r="R19" s="1113"/>
      <c r="S19" s="1113"/>
      <c r="T19" s="1113"/>
      <c r="U19" s="1107"/>
    </row>
    <row r="20" spans="1:21" ht="17.45" customHeight="1" x14ac:dyDescent="0.2">
      <c r="A20" s="1268" t="s">
        <v>1063</v>
      </c>
      <c r="B20" s="522"/>
      <c r="C20" s="1269">
        <v>0</v>
      </c>
      <c r="D20" s="1269">
        <f>'PR Expenditure_7A'!D21</f>
        <v>0</v>
      </c>
      <c r="E20" s="1270"/>
      <c r="F20" s="1269">
        <f t="shared" si="1"/>
        <v>0</v>
      </c>
      <c r="G20" s="1271" t="str">
        <f t="shared" si="2"/>
        <v>N/A</v>
      </c>
      <c r="H20" s="1052"/>
      <c r="I20" s="522"/>
      <c r="J20" s="1272">
        <v>0</v>
      </c>
      <c r="K20" s="1270"/>
      <c r="L20" s="1269">
        <f t="shared" si="3"/>
        <v>0</v>
      </c>
      <c r="M20" s="1271" t="str">
        <f t="shared" si="0"/>
        <v>N/A</v>
      </c>
      <c r="N20" s="1273"/>
      <c r="O20" s="1267" t="s">
        <v>1064</v>
      </c>
      <c r="P20" s="1274">
        <v>13</v>
      </c>
      <c r="Q20" s="1113"/>
      <c r="R20" s="1113"/>
      <c r="S20" s="1113"/>
      <c r="T20" s="1113"/>
      <c r="U20" s="1107"/>
    </row>
    <row r="21" spans="1:21" s="360" customFormat="1" hidden="1" x14ac:dyDescent="0.2">
      <c r="N21" s="1108"/>
      <c r="O21" s="1080" t="s">
        <v>356</v>
      </c>
      <c r="P21" s="1080" t="s">
        <v>556</v>
      </c>
      <c r="Q21" s="1081" t="s">
        <v>601</v>
      </c>
      <c r="R21" s="1081"/>
      <c r="S21" s="1081"/>
      <c r="T21" s="1114"/>
      <c r="U21" s="1109"/>
    </row>
    <row r="22" spans="1:21" ht="15" hidden="1" x14ac:dyDescent="0.2">
      <c r="A22" s="895" t="s">
        <v>612</v>
      </c>
      <c r="B22" s="522"/>
      <c r="C22" s="569" t="s">
        <v>386</v>
      </c>
      <c r="D22" s="569" t="str">
        <f>'PR Expenditure_7A'!D23</f>
        <v>[PR Actual Expenditure]</v>
      </c>
      <c r="E22" s="570" t="s">
        <v>390</v>
      </c>
      <c r="F22" s="569">
        <f>IFERROR((C22)-(D22+E22),0)</f>
        <v>0</v>
      </c>
      <c r="G22" s="571" t="e">
        <f>IF(AND((C22)=0,(D22+E22)=0),"N/A",IF(AND((C22)=0,(D22+E22)&lt;&gt;0),"Not Budgeted",(D22+E22)/(C22)))</f>
        <v>#VALUE!</v>
      </c>
      <c r="H22" s="929"/>
      <c r="I22" s="522"/>
      <c r="J22" s="894" t="s">
        <v>387</v>
      </c>
      <c r="K22" s="570" t="s">
        <v>391</v>
      </c>
      <c r="L22" s="569">
        <f>IFERROR(J22-K22,0)</f>
        <v>0</v>
      </c>
      <c r="M22" s="571" t="e">
        <f t="shared" si="0"/>
        <v>#VALUE!</v>
      </c>
      <c r="N22" s="1106"/>
      <c r="O22" s="1082" t="s">
        <v>355</v>
      </c>
      <c r="P22" s="1082" t="s">
        <v>555</v>
      </c>
      <c r="Q22" s="1083" t="s">
        <v>600</v>
      </c>
      <c r="R22" s="1083"/>
      <c r="S22" s="1083"/>
      <c r="T22" s="1113"/>
      <c r="U22" s="1107"/>
    </row>
    <row r="23" spans="1:21" ht="10.5" hidden="1" customHeight="1" x14ac:dyDescent="0.2">
      <c r="E23" s="352" t="s">
        <v>597</v>
      </c>
      <c r="K23" s="352" t="s">
        <v>598</v>
      </c>
      <c r="N23" s="1106"/>
      <c r="O23" s="1082" t="s">
        <v>356</v>
      </c>
      <c r="P23" s="1082"/>
      <c r="Q23" s="1083"/>
      <c r="R23" s="1083"/>
      <c r="S23" s="1083" t="s">
        <v>599</v>
      </c>
      <c r="T23" s="1113"/>
      <c r="U23" s="1107"/>
    </row>
    <row r="24" spans="1:21" ht="20.100000000000001" hidden="1" customHeight="1" x14ac:dyDescent="0.2">
      <c r="A24" s="1089"/>
      <c r="B24" s="522"/>
      <c r="C24" s="569" t="s">
        <v>386</v>
      </c>
      <c r="D24" s="569" t="str">
        <f>'PR Expenditure_7A'!D25</f>
        <v>[PR Actual Expenditure]</v>
      </c>
      <c r="E24" s="570" t="s">
        <v>390</v>
      </c>
      <c r="F24" s="569">
        <f>IFERROR((C24)-(D24+E24),0)</f>
        <v>0</v>
      </c>
      <c r="G24" s="571" t="e">
        <f>IF(AND((C24)=0,(D24+E24)=0),"N/A",IF(AND((C24)=0,(D24+E24)&lt;&gt;0),"Not Budgeted",(D24+E24)/(C24)))</f>
        <v>#VALUE!</v>
      </c>
      <c r="H24" s="929"/>
      <c r="I24" s="522"/>
      <c r="J24" s="894" t="s">
        <v>387</v>
      </c>
      <c r="K24" s="570" t="s">
        <v>391</v>
      </c>
      <c r="L24" s="569">
        <f>IFERROR(J24-K24,0)</f>
        <v>0</v>
      </c>
      <c r="M24" s="571" t="e">
        <f t="shared" si="0"/>
        <v>#VALUE!</v>
      </c>
      <c r="N24" s="1110"/>
      <c r="O24" s="1082" t="s">
        <v>355</v>
      </c>
      <c r="P24" s="1082"/>
      <c r="Q24" s="1083"/>
      <c r="R24" s="1083"/>
      <c r="S24" s="1083" t="str">
        <f>IF(A24&lt;&gt;"",VLOOKUP(A24,'Reference Records'!$E$97:$G$174,3,FALSE),"")</f>
        <v/>
      </c>
      <c r="T24" s="1113"/>
      <c r="U24" s="1107"/>
    </row>
    <row r="25" spans="1:21" ht="19.149999999999999" hidden="1" customHeight="1" thickBot="1" x14ac:dyDescent="0.25">
      <c r="A25" s="1078"/>
      <c r="B25" s="590"/>
      <c r="C25" s="590"/>
      <c r="D25" s="590"/>
      <c r="E25" s="590"/>
      <c r="F25" s="590"/>
      <c r="G25" s="590"/>
      <c r="H25" s="590"/>
      <c r="I25" s="974"/>
      <c r="J25" s="590"/>
      <c r="K25" s="590"/>
      <c r="L25" s="590"/>
      <c r="M25" s="590"/>
      <c r="N25" s="1111"/>
      <c r="O25" s="1084"/>
      <c r="P25" s="1082"/>
      <c r="Q25" s="1083"/>
      <c r="R25" s="1083"/>
      <c r="S25" s="1083"/>
      <c r="T25" s="1113"/>
      <c r="U25" s="1107"/>
    </row>
    <row r="26" spans="1:21" ht="21.6" customHeight="1" thickBot="1" x14ac:dyDescent="0.25">
      <c r="A26" s="975" t="s">
        <v>86</v>
      </c>
      <c r="B26" s="979"/>
      <c r="C26" s="977">
        <f>ROUND(SUM(C7:C25),2)</f>
        <v>5689012.5099999998</v>
      </c>
      <c r="D26" s="977">
        <f>ROUND(SUM(D7:D25),2)</f>
        <v>3017112.36</v>
      </c>
      <c r="E26" s="977">
        <f>ROUND(SUM(E7:E25),2)</f>
        <v>0</v>
      </c>
      <c r="F26" s="977">
        <f>ROUND(SUM(F7:F25),2)</f>
        <v>2671900.15</v>
      </c>
      <c r="G26" s="1079">
        <f>(D26+E26)/(C26)</f>
        <v>0.53034025759243764</v>
      </c>
      <c r="H26" s="978"/>
      <c r="I26" s="979"/>
      <c r="J26" s="977">
        <f>ROUND(SUM(J7:J25),2)</f>
        <v>5689012.5099999998</v>
      </c>
      <c r="K26" s="977">
        <f>ROUND(SUM(K7:K25),2)</f>
        <v>0</v>
      </c>
      <c r="L26" s="977">
        <f>ROUND(SUM(L7:L25),2)</f>
        <v>5689012.5099999998</v>
      </c>
      <c r="M26" s="978">
        <f>K26/J26</f>
        <v>0</v>
      </c>
      <c r="N26" s="1107"/>
      <c r="O26" s="1083"/>
      <c r="P26" s="1083"/>
      <c r="Q26" s="1083"/>
      <c r="R26" s="1083"/>
      <c r="S26" s="1083"/>
      <c r="T26" s="1113"/>
      <c r="U26" s="1107"/>
    </row>
    <row r="27" spans="1:21" x14ac:dyDescent="0.2">
      <c r="N27" s="1107"/>
      <c r="O27" s="1083"/>
      <c r="P27" s="1083"/>
      <c r="Q27" s="1083"/>
      <c r="R27" s="1083"/>
      <c r="S27" s="1083"/>
      <c r="T27" s="1113"/>
      <c r="U27" s="1107"/>
    </row>
    <row r="28" spans="1:21" ht="15.75" thickBot="1" x14ac:dyDescent="0.25">
      <c r="A28" s="109" t="s">
        <v>267</v>
      </c>
      <c r="B28" s="109"/>
      <c r="C28" s="110"/>
      <c r="D28" s="110"/>
      <c r="E28" s="110"/>
      <c r="F28" s="111"/>
      <c r="G28" s="112"/>
      <c r="H28" s="112"/>
      <c r="I28" s="358"/>
      <c r="J28" s="112"/>
      <c r="K28" s="112"/>
      <c r="L28" s="112"/>
      <c r="M28" s="112"/>
      <c r="N28" s="1107"/>
      <c r="O28" s="1083"/>
      <c r="P28" s="1083"/>
      <c r="Q28" s="1083"/>
      <c r="R28" s="1083"/>
      <c r="S28" s="1083"/>
      <c r="T28" s="1113"/>
      <c r="U28" s="1107"/>
    </row>
    <row r="29" spans="1:21" ht="19.899999999999999" customHeight="1" thickBot="1" x14ac:dyDescent="0.25">
      <c r="A29" s="591"/>
      <c r="B29" s="593"/>
      <c r="C29" s="593"/>
      <c r="D29" s="593"/>
      <c r="E29" s="593"/>
      <c r="F29" s="593"/>
      <c r="G29" s="593"/>
      <c r="H29" s="593"/>
      <c r="I29" s="592"/>
      <c r="J29" s="593"/>
      <c r="K29" s="593"/>
      <c r="L29" s="593"/>
      <c r="M29" s="593"/>
      <c r="N29" s="1105"/>
      <c r="O29" s="1085"/>
      <c r="P29" s="1082"/>
      <c r="Q29" s="1083"/>
      <c r="R29" s="1083"/>
      <c r="S29" s="1083"/>
      <c r="T29" s="1113"/>
      <c r="U29" s="1107"/>
    </row>
    <row r="30" spans="1:21" s="360" customFormat="1" ht="60" x14ac:dyDescent="0.2">
      <c r="A30" s="1259" t="s">
        <v>206</v>
      </c>
      <c r="B30" s="1259" t="s">
        <v>88</v>
      </c>
      <c r="C30" s="813" t="s">
        <v>40</v>
      </c>
      <c r="D30" s="813" t="s">
        <v>414</v>
      </c>
      <c r="E30" s="813" t="s">
        <v>395</v>
      </c>
      <c r="F30" s="813" t="s">
        <v>83</v>
      </c>
      <c r="G30" s="813" t="s">
        <v>614</v>
      </c>
      <c r="H30" s="813" t="s">
        <v>214</v>
      </c>
      <c r="I30" s="522"/>
      <c r="J30" s="813" t="s">
        <v>22</v>
      </c>
      <c r="K30" s="813" t="s">
        <v>137</v>
      </c>
      <c r="L30" s="813" t="s">
        <v>138</v>
      </c>
      <c r="M30" s="813" t="s">
        <v>614</v>
      </c>
      <c r="N30" s="1275"/>
      <c r="O30" s="1276" t="s">
        <v>356</v>
      </c>
      <c r="P30" s="1080"/>
      <c r="Q30" s="1081"/>
      <c r="R30" s="1081"/>
      <c r="S30" s="1081"/>
      <c r="T30" s="1114"/>
      <c r="U30" s="1109"/>
    </row>
    <row r="31" spans="1:21" ht="15" hidden="1" x14ac:dyDescent="0.2">
      <c r="A31" s="1277" t="s">
        <v>400</v>
      </c>
      <c r="B31" s="1277" t="s">
        <v>337</v>
      </c>
      <c r="C31" s="1269" t="s">
        <v>386</v>
      </c>
      <c r="D31" s="1269" t="str">
        <f>'PR Expenditure_7A'!D32</f>
        <v>[PR Actual Expenditure]</v>
      </c>
      <c r="E31" s="1270" t="s">
        <v>390</v>
      </c>
      <c r="F31" s="1269">
        <f>IFERROR((C31)-(D31+E31),0)</f>
        <v>0</v>
      </c>
      <c r="G31" s="1271" t="e">
        <f>IF(AND((C31)=0,(D31+E31)=0),"N/A",IF(AND((C31)=0,(D31+E31)&lt;&gt;0),"Not Budgeted",(D31+E31)/(C31)))</f>
        <v>#VALUE!</v>
      </c>
      <c r="H31" s="1052"/>
      <c r="I31" s="522"/>
      <c r="J31" s="1272" t="s">
        <v>387</v>
      </c>
      <c r="K31" s="1270" t="s">
        <v>391</v>
      </c>
      <c r="L31" s="1269">
        <f>IFERROR(J31-K31,0)</f>
        <v>0</v>
      </c>
      <c r="M31" s="1271" t="e">
        <f t="shared" ref="M31:M56" si="4">IF(AND(J31=0,K31=0),"N/A",IF(AND(J31=0,K31&lt;&gt;0),"Not Budgeted",K31/J31))</f>
        <v>#VALUE!</v>
      </c>
      <c r="N31" s="1266"/>
      <c r="O31" s="1278" t="s">
        <v>355</v>
      </c>
      <c r="P31" s="1082"/>
      <c r="Q31" s="1083"/>
      <c r="R31" s="1083"/>
      <c r="S31" s="1083"/>
      <c r="T31" s="1113"/>
    </row>
    <row r="32" spans="1:21" ht="15" x14ac:dyDescent="0.2">
      <c r="A32" s="1277" t="s">
        <v>989</v>
      </c>
      <c r="B32" s="1277" t="s">
        <v>1065</v>
      </c>
      <c r="C32" s="1269">
        <v>2512046.3573889998</v>
      </c>
      <c r="D32" s="1269">
        <f>'PR Expenditure_7A'!D33</f>
        <v>1006015.0742753878</v>
      </c>
      <c r="E32" s="1270"/>
      <c r="F32" s="1269">
        <f t="shared" ref="F32:F39" si="5">IFERROR((C32)-(D32+E32),0)</f>
        <v>1506031.2831136119</v>
      </c>
      <c r="G32" s="1271">
        <f t="shared" ref="G32:G39" si="6">IF(AND((C32)=0,(D32+E32)=0),"N/A",IF(AND((C32)=0,(D32+E32)&lt;&gt;0),"Not Budgeted",(D32+E32)/(C32)))</f>
        <v>0.40047631737219674</v>
      </c>
      <c r="H32" s="1052"/>
      <c r="I32" s="522"/>
      <c r="J32" s="1272">
        <v>2512046.3573889998</v>
      </c>
      <c r="K32" s="1270"/>
      <c r="L32" s="1269">
        <f t="shared" ref="L32:L39" si="7">IFERROR(J32-K32,0)</f>
        <v>2512046.3573889998</v>
      </c>
      <c r="M32" s="1271">
        <f t="shared" si="4"/>
        <v>0</v>
      </c>
      <c r="N32" s="1266"/>
      <c r="O32" s="1278" t="s">
        <v>1066</v>
      </c>
      <c r="P32" s="1082"/>
      <c r="Q32" s="1083"/>
      <c r="R32" s="1083"/>
      <c r="S32" s="1083"/>
      <c r="T32" s="1113"/>
    </row>
    <row r="33" spans="1:20" ht="15" x14ac:dyDescent="0.2">
      <c r="A33" s="1277" t="s">
        <v>989</v>
      </c>
      <c r="B33" s="1277" t="s">
        <v>1067</v>
      </c>
      <c r="C33" s="1269">
        <v>1834029.8147048</v>
      </c>
      <c r="D33" s="1269">
        <f>'PR Expenditure_7A'!D34</f>
        <v>1300854.0206626051</v>
      </c>
      <c r="E33" s="1270"/>
      <c r="F33" s="1269">
        <f t="shared" si="5"/>
        <v>533175.79404219496</v>
      </c>
      <c r="G33" s="1271">
        <f t="shared" si="6"/>
        <v>0.7092872810641776</v>
      </c>
      <c r="H33" s="1052"/>
      <c r="I33" s="522"/>
      <c r="J33" s="1272">
        <v>1834029.8147048</v>
      </c>
      <c r="K33" s="1270"/>
      <c r="L33" s="1269">
        <f t="shared" si="7"/>
        <v>1834029.8147048</v>
      </c>
      <c r="M33" s="1271">
        <f t="shared" si="4"/>
        <v>0</v>
      </c>
      <c r="N33" s="1266"/>
      <c r="O33" s="1278" t="s">
        <v>1068</v>
      </c>
      <c r="P33" s="1082"/>
      <c r="Q33" s="1083"/>
      <c r="R33" s="1083"/>
      <c r="S33" s="1083"/>
      <c r="T33" s="1113"/>
    </row>
    <row r="34" spans="1:20" ht="25.5" x14ac:dyDescent="0.2">
      <c r="A34" s="1277" t="s">
        <v>1012</v>
      </c>
      <c r="B34" s="1277" t="s">
        <v>1013</v>
      </c>
      <c r="C34" s="1269">
        <v>279706.69725899998</v>
      </c>
      <c r="D34" s="1269">
        <f>'PR Expenditure_7A'!D35</f>
        <v>129331.94628899785</v>
      </c>
      <c r="E34" s="1270"/>
      <c r="F34" s="1269">
        <f t="shared" si="5"/>
        <v>150374.75097000215</v>
      </c>
      <c r="G34" s="1271">
        <f t="shared" si="6"/>
        <v>0.46238416010911731</v>
      </c>
      <c r="H34" s="1052"/>
      <c r="I34" s="522"/>
      <c r="J34" s="1272">
        <v>279706.69725899998</v>
      </c>
      <c r="K34" s="1270"/>
      <c r="L34" s="1269">
        <f t="shared" si="7"/>
        <v>279706.69725899998</v>
      </c>
      <c r="M34" s="1271">
        <f t="shared" si="4"/>
        <v>0</v>
      </c>
      <c r="N34" s="1266"/>
      <c r="O34" s="1278" t="s">
        <v>1069</v>
      </c>
      <c r="P34" s="1082"/>
      <c r="Q34" s="1083"/>
      <c r="R34" s="1083"/>
      <c r="S34" s="1083"/>
      <c r="T34" s="1113"/>
    </row>
    <row r="35" spans="1:20" ht="15" x14ac:dyDescent="0.2">
      <c r="A35" s="1277" t="s">
        <v>1070</v>
      </c>
      <c r="B35" s="1277" t="s">
        <v>1070</v>
      </c>
      <c r="C35" s="1269">
        <v>61064.344775999998</v>
      </c>
      <c r="D35" s="1269">
        <f>'PR Expenditure_7A'!D36</f>
        <v>0</v>
      </c>
      <c r="E35" s="1270"/>
      <c r="F35" s="1269">
        <f t="shared" si="5"/>
        <v>61064.344775999998</v>
      </c>
      <c r="G35" s="1271">
        <f t="shared" si="6"/>
        <v>0</v>
      </c>
      <c r="H35" s="1052"/>
      <c r="I35" s="522"/>
      <c r="J35" s="1272">
        <v>61064.344775999998</v>
      </c>
      <c r="K35" s="1270"/>
      <c r="L35" s="1269">
        <f t="shared" si="7"/>
        <v>61064.344775999998</v>
      </c>
      <c r="M35" s="1271">
        <f t="shared" si="4"/>
        <v>0</v>
      </c>
      <c r="N35" s="1266"/>
      <c r="O35" s="1278" t="s">
        <v>1071</v>
      </c>
      <c r="P35" s="1082"/>
      <c r="Q35" s="1083"/>
      <c r="R35" s="1083"/>
      <c r="S35" s="1083"/>
      <c r="T35" s="1113"/>
    </row>
    <row r="36" spans="1:20" ht="25.5" x14ac:dyDescent="0.2">
      <c r="A36" s="1277" t="s">
        <v>1072</v>
      </c>
      <c r="B36" s="1277" t="s">
        <v>1073</v>
      </c>
      <c r="C36" s="1269">
        <v>475506.76653199998</v>
      </c>
      <c r="D36" s="1269">
        <f>'PR Expenditure_7A'!D37</f>
        <v>377416.65402461932</v>
      </c>
      <c r="E36" s="1270"/>
      <c r="F36" s="1269">
        <f t="shared" si="5"/>
        <v>98090.112507380662</v>
      </c>
      <c r="G36" s="1271">
        <f t="shared" si="6"/>
        <v>0.79371458113461035</v>
      </c>
      <c r="H36" s="1052"/>
      <c r="I36" s="522"/>
      <c r="J36" s="1272">
        <v>475506.76653199998</v>
      </c>
      <c r="K36" s="1270"/>
      <c r="L36" s="1269">
        <f t="shared" si="7"/>
        <v>475506.76653199998</v>
      </c>
      <c r="M36" s="1271">
        <f t="shared" si="4"/>
        <v>0</v>
      </c>
      <c r="N36" s="1266"/>
      <c r="O36" s="1278" t="s">
        <v>1074</v>
      </c>
      <c r="P36" s="1082"/>
      <c r="Q36" s="1083"/>
      <c r="R36" s="1083"/>
      <c r="S36" s="1083"/>
      <c r="T36" s="1113"/>
    </row>
    <row r="37" spans="1:20" ht="15" x14ac:dyDescent="0.2">
      <c r="A37" s="1277" t="s">
        <v>1075</v>
      </c>
      <c r="B37" s="1277" t="s">
        <v>1076</v>
      </c>
      <c r="C37" s="1269">
        <v>107026.095503</v>
      </c>
      <c r="D37" s="1269">
        <f>'PR Expenditure_7A'!D38</f>
        <v>66629.253142432484</v>
      </c>
      <c r="E37" s="1270"/>
      <c r="F37" s="1269">
        <f t="shared" si="5"/>
        <v>40396.84236056752</v>
      </c>
      <c r="G37" s="1271">
        <f t="shared" si="6"/>
        <v>0.62255147054827231</v>
      </c>
      <c r="H37" s="1052"/>
      <c r="I37" s="522"/>
      <c r="J37" s="1272">
        <v>107026.095503</v>
      </c>
      <c r="K37" s="1270"/>
      <c r="L37" s="1269">
        <f t="shared" si="7"/>
        <v>107026.095503</v>
      </c>
      <c r="M37" s="1271">
        <f t="shared" si="4"/>
        <v>0</v>
      </c>
      <c r="N37" s="1266"/>
      <c r="O37" s="1278" t="s">
        <v>1077</v>
      </c>
      <c r="P37" s="1082"/>
      <c r="Q37" s="1083"/>
      <c r="R37" s="1083"/>
      <c r="S37" s="1083"/>
      <c r="T37" s="1113"/>
    </row>
    <row r="38" spans="1:20" ht="25.5" x14ac:dyDescent="0.2">
      <c r="A38" s="1277" t="s">
        <v>1078</v>
      </c>
      <c r="B38" s="1277" t="s">
        <v>1079</v>
      </c>
      <c r="C38" s="1269">
        <v>241503.51529499999</v>
      </c>
      <c r="D38" s="1269">
        <f>'PR Expenditure_7A'!D39</f>
        <v>0</v>
      </c>
      <c r="E38" s="1270"/>
      <c r="F38" s="1269">
        <f t="shared" si="5"/>
        <v>241503.51529499999</v>
      </c>
      <c r="G38" s="1271">
        <f t="shared" si="6"/>
        <v>0</v>
      </c>
      <c r="H38" s="1052"/>
      <c r="I38" s="522"/>
      <c r="J38" s="1272">
        <v>241503.51529499999</v>
      </c>
      <c r="K38" s="1270"/>
      <c r="L38" s="1269">
        <f t="shared" si="7"/>
        <v>241503.51529499999</v>
      </c>
      <c r="M38" s="1271">
        <f t="shared" si="4"/>
        <v>0</v>
      </c>
      <c r="N38" s="1266"/>
      <c r="O38" s="1278" t="s">
        <v>1080</v>
      </c>
      <c r="P38" s="1082"/>
      <c r="Q38" s="1083"/>
      <c r="R38" s="1083"/>
      <c r="S38" s="1083"/>
      <c r="T38" s="1113"/>
    </row>
    <row r="39" spans="1:20" ht="15" x14ac:dyDescent="0.2">
      <c r="A39" s="1277" t="s">
        <v>1081</v>
      </c>
      <c r="B39" s="1277" t="s">
        <v>1082</v>
      </c>
      <c r="C39" s="1269">
        <v>178128.92332259999</v>
      </c>
      <c r="D39" s="1269">
        <f>'PR Expenditure_7A'!D40</f>
        <v>136865.41746467663</v>
      </c>
      <c r="E39" s="1270"/>
      <c r="F39" s="1269">
        <f t="shared" si="5"/>
        <v>41263.505857923359</v>
      </c>
      <c r="G39" s="1271">
        <f t="shared" si="6"/>
        <v>0.76835033251060991</v>
      </c>
      <c r="H39" s="1052"/>
      <c r="I39" s="522"/>
      <c r="J39" s="1272">
        <v>178128.92332259999</v>
      </c>
      <c r="K39" s="1270"/>
      <c r="L39" s="1269">
        <f t="shared" si="7"/>
        <v>178128.92332259999</v>
      </c>
      <c r="M39" s="1271">
        <f t="shared" si="4"/>
        <v>0</v>
      </c>
      <c r="N39" s="1266"/>
      <c r="O39" s="1278" t="s">
        <v>1083</v>
      </c>
      <c r="P39" s="1082"/>
      <c r="Q39" s="1083"/>
      <c r="R39" s="1083"/>
      <c r="S39" s="1083"/>
      <c r="T39" s="1113"/>
    </row>
    <row r="40" spans="1:20" ht="15" hidden="1" customHeight="1" x14ac:dyDescent="0.2">
      <c r="A40" s="1335"/>
      <c r="B40" s="1335"/>
      <c r="C40" s="1336"/>
      <c r="D40" s="1336"/>
      <c r="E40" s="1337"/>
      <c r="F40" s="1336"/>
      <c r="G40" s="1338"/>
      <c r="H40" s="1339"/>
      <c r="I40" s="984"/>
      <c r="J40" s="1337"/>
      <c r="K40" s="1337"/>
      <c r="L40" s="1336"/>
      <c r="M40" s="1338"/>
      <c r="N40" s="1266"/>
      <c r="O40" s="1278"/>
      <c r="P40" s="1278"/>
      <c r="Q40" s="1278" t="s">
        <v>356</v>
      </c>
      <c r="R40" s="1083"/>
      <c r="S40" s="1083"/>
      <c r="T40" s="1113"/>
    </row>
    <row r="41" spans="1:20" ht="12.75" hidden="1" customHeight="1" x14ac:dyDescent="0.2">
      <c r="A41" s="1340" t="s">
        <v>400</v>
      </c>
      <c r="B41" s="1340" t="s">
        <v>337</v>
      </c>
      <c r="C41" s="1269" t="s">
        <v>386</v>
      </c>
      <c r="D41" s="1269" t="str">
        <f>'PR Expenditure_7A'!D42</f>
        <v>[PR Actual Expenditure]</v>
      </c>
      <c r="E41" s="1270" t="s">
        <v>390</v>
      </c>
      <c r="F41" s="1269">
        <f>IFERROR((C41)-(D41+E41),0)</f>
        <v>0</v>
      </c>
      <c r="G41" s="1271" t="e">
        <f>IF(AND((C41)=0,(D41+E41)=0),"N/A",IF(AND((C41)=0,(D41+E41)&lt;&gt;0),"Not Budgeted",(D41+E41)/(C41)))</f>
        <v>#VALUE!</v>
      </c>
      <c r="H41" s="1052"/>
      <c r="I41" s="522"/>
      <c r="J41" s="1272" t="s">
        <v>387</v>
      </c>
      <c r="K41" s="1270" t="s">
        <v>391</v>
      </c>
      <c r="L41" s="1269">
        <f>IFERROR(J41-K41,0)</f>
        <v>0</v>
      </c>
      <c r="M41" s="1271" t="e">
        <f t="shared" si="4"/>
        <v>#VALUE!</v>
      </c>
      <c r="N41" s="1266"/>
      <c r="O41" s="1278" t="str">
        <f>IFERROR(IF(VLOOKUP(A41,'Reference Records'!$B$12:$D$25,3,FALSE)=0,"",VLOOKUP(A41,'Reference Records'!$B$12:$D$25,3,FALSE)),"")</f>
        <v/>
      </c>
      <c r="P41" s="1278"/>
      <c r="Q41" s="1278" t="s">
        <v>355</v>
      </c>
      <c r="R41" s="1083"/>
      <c r="S41" s="1083"/>
      <c r="T41" s="1113"/>
    </row>
    <row r="42" spans="1:20" ht="12.75" hidden="1" customHeight="1" x14ac:dyDescent="0.2">
      <c r="A42" s="1340"/>
      <c r="B42" s="1340"/>
      <c r="C42" s="1269">
        <v>0</v>
      </c>
      <c r="D42" s="1269">
        <f>'PR Expenditure_7A'!D43</f>
        <v>0</v>
      </c>
      <c r="E42" s="1270"/>
      <c r="F42" s="1269">
        <f t="shared" ref="F42:F56" si="8">IFERROR((C42)-(D42+E42),0)</f>
        <v>0</v>
      </c>
      <c r="G42" s="1271" t="str">
        <f t="shared" ref="G42:G56" si="9">IF(AND((C42)=0,(D42+E42)=0),"N/A",IF(AND((C42)=0,(D42+E42)&lt;&gt;0),"Not Budgeted",(D42+E42)/(C42)))</f>
        <v>N/A</v>
      </c>
      <c r="H42" s="1052"/>
      <c r="I42" s="522"/>
      <c r="J42" s="1272">
        <v>0</v>
      </c>
      <c r="K42" s="1270"/>
      <c r="L42" s="1269">
        <f t="shared" ref="L42:L56" si="10">IFERROR(J42-K42,0)</f>
        <v>0</v>
      </c>
      <c r="M42" s="1271" t="str">
        <f t="shared" si="4"/>
        <v>N/A</v>
      </c>
      <c r="N42" s="1266"/>
      <c r="O42" s="1278" t="str">
        <f>IFERROR(IF(VLOOKUP(A42,'Reference Records'!$B$12:$D$25,3,FALSE)=0,"",VLOOKUP(A42,'Reference Records'!$B$12:$D$25,3,FALSE)),"")</f>
        <v/>
      </c>
      <c r="P42" s="1278"/>
      <c r="Q42" s="1278" t="s">
        <v>1389</v>
      </c>
      <c r="R42" s="1083"/>
      <c r="S42" s="1083"/>
      <c r="T42" s="1113"/>
    </row>
    <row r="43" spans="1:20" ht="12.75" hidden="1" customHeight="1" x14ac:dyDescent="0.2">
      <c r="A43" s="1340"/>
      <c r="B43" s="1340"/>
      <c r="C43" s="1269">
        <v>0</v>
      </c>
      <c r="D43" s="1269">
        <f>'PR Expenditure_7A'!D44</f>
        <v>0</v>
      </c>
      <c r="E43" s="1270"/>
      <c r="F43" s="1269">
        <f t="shared" si="8"/>
        <v>0</v>
      </c>
      <c r="G43" s="1271" t="str">
        <f t="shared" si="9"/>
        <v>N/A</v>
      </c>
      <c r="H43" s="1052"/>
      <c r="I43" s="522"/>
      <c r="J43" s="1272">
        <v>0</v>
      </c>
      <c r="K43" s="1270"/>
      <c r="L43" s="1269">
        <f t="shared" si="10"/>
        <v>0</v>
      </c>
      <c r="M43" s="1271" t="str">
        <f t="shared" si="4"/>
        <v>N/A</v>
      </c>
      <c r="N43" s="1266"/>
      <c r="O43" s="1278" t="str">
        <f>IFERROR(IF(VLOOKUP(A43,'Reference Records'!$B$12:$D$25,3,FALSE)=0,"",VLOOKUP(A43,'Reference Records'!$B$12:$D$25,3,FALSE)),"")</f>
        <v/>
      </c>
      <c r="P43" s="1278"/>
      <c r="Q43" s="1278" t="s">
        <v>1390</v>
      </c>
      <c r="R43" s="1083"/>
      <c r="S43" s="1083"/>
      <c r="T43" s="1113"/>
    </row>
    <row r="44" spans="1:20" ht="12.75" hidden="1" customHeight="1" x14ac:dyDescent="0.2">
      <c r="A44" s="1340"/>
      <c r="B44" s="1340"/>
      <c r="C44" s="1269">
        <v>0</v>
      </c>
      <c r="D44" s="1269">
        <f>'PR Expenditure_7A'!D45</f>
        <v>0</v>
      </c>
      <c r="E44" s="1270"/>
      <c r="F44" s="1269">
        <f t="shared" si="8"/>
        <v>0</v>
      </c>
      <c r="G44" s="1271" t="str">
        <f t="shared" si="9"/>
        <v>N/A</v>
      </c>
      <c r="H44" s="1052"/>
      <c r="I44" s="522"/>
      <c r="J44" s="1272">
        <v>0</v>
      </c>
      <c r="K44" s="1270"/>
      <c r="L44" s="1269">
        <f t="shared" si="10"/>
        <v>0</v>
      </c>
      <c r="M44" s="1271" t="str">
        <f t="shared" si="4"/>
        <v>N/A</v>
      </c>
      <c r="N44" s="1266"/>
      <c r="O44" s="1278" t="str">
        <f>IFERROR(IF(VLOOKUP(A44,'Reference Records'!$B$12:$D$25,3,FALSE)=0,"",VLOOKUP(A44,'Reference Records'!$B$12:$D$25,3,FALSE)),"")</f>
        <v/>
      </c>
      <c r="P44" s="1278"/>
      <c r="Q44" s="1278" t="s">
        <v>1391</v>
      </c>
      <c r="R44" s="1083"/>
      <c r="S44" s="1083"/>
      <c r="T44" s="1113"/>
    </row>
    <row r="45" spans="1:20" ht="12.75" hidden="1" customHeight="1" x14ac:dyDescent="0.2">
      <c r="A45" s="1340"/>
      <c r="B45" s="1340"/>
      <c r="C45" s="1269">
        <v>0</v>
      </c>
      <c r="D45" s="1269">
        <f>'PR Expenditure_7A'!D46</f>
        <v>0</v>
      </c>
      <c r="E45" s="1270"/>
      <c r="F45" s="1269">
        <f t="shared" si="8"/>
        <v>0</v>
      </c>
      <c r="G45" s="1271" t="str">
        <f t="shared" si="9"/>
        <v>N/A</v>
      </c>
      <c r="H45" s="1052"/>
      <c r="I45" s="522"/>
      <c r="J45" s="1272">
        <v>0</v>
      </c>
      <c r="K45" s="1270"/>
      <c r="L45" s="1269">
        <f t="shared" si="10"/>
        <v>0</v>
      </c>
      <c r="M45" s="1271" t="str">
        <f t="shared" si="4"/>
        <v>N/A</v>
      </c>
      <c r="N45" s="1266"/>
      <c r="O45" s="1278" t="str">
        <f>IFERROR(IF(VLOOKUP(A45,'Reference Records'!$B$12:$D$25,3,FALSE)=0,"",VLOOKUP(A45,'Reference Records'!$B$12:$D$25,3,FALSE)),"")</f>
        <v/>
      </c>
      <c r="P45" s="1278"/>
      <c r="Q45" s="1278" t="s">
        <v>1392</v>
      </c>
      <c r="R45" s="1083"/>
      <c r="S45" s="1083"/>
      <c r="T45" s="1113"/>
    </row>
    <row r="46" spans="1:20" ht="12.75" hidden="1" customHeight="1" x14ac:dyDescent="0.2">
      <c r="A46" s="1340"/>
      <c r="B46" s="1340"/>
      <c r="C46" s="1269">
        <v>0</v>
      </c>
      <c r="D46" s="1269">
        <f>'PR Expenditure_7A'!D47</f>
        <v>0</v>
      </c>
      <c r="E46" s="1270"/>
      <c r="F46" s="1269">
        <f t="shared" si="8"/>
        <v>0</v>
      </c>
      <c r="G46" s="1271" t="str">
        <f t="shared" si="9"/>
        <v>N/A</v>
      </c>
      <c r="H46" s="1052"/>
      <c r="I46" s="522"/>
      <c r="J46" s="1272">
        <v>0</v>
      </c>
      <c r="K46" s="1270"/>
      <c r="L46" s="1269">
        <f t="shared" si="10"/>
        <v>0</v>
      </c>
      <c r="M46" s="1271" t="str">
        <f t="shared" si="4"/>
        <v>N/A</v>
      </c>
      <c r="N46" s="1266"/>
      <c r="O46" s="1278" t="str">
        <f>IFERROR(IF(VLOOKUP(A46,'Reference Records'!$B$12:$D$25,3,FALSE)=0,"",VLOOKUP(A46,'Reference Records'!$B$12:$D$25,3,FALSE)),"")</f>
        <v/>
      </c>
      <c r="P46" s="1278"/>
      <c r="Q46" s="1278" t="s">
        <v>1393</v>
      </c>
      <c r="R46" s="1083"/>
      <c r="S46" s="1083"/>
      <c r="T46" s="1113"/>
    </row>
    <row r="47" spans="1:20" ht="12.75" hidden="1" customHeight="1" x14ac:dyDescent="0.2">
      <c r="A47" s="1340"/>
      <c r="B47" s="1340"/>
      <c r="C47" s="1269">
        <v>0</v>
      </c>
      <c r="D47" s="1269">
        <f>'PR Expenditure_7A'!D48</f>
        <v>0</v>
      </c>
      <c r="E47" s="1270"/>
      <c r="F47" s="1269">
        <f t="shared" si="8"/>
        <v>0</v>
      </c>
      <c r="G47" s="1271" t="str">
        <f t="shared" si="9"/>
        <v>N/A</v>
      </c>
      <c r="H47" s="1052"/>
      <c r="I47" s="522"/>
      <c r="J47" s="1272">
        <v>0</v>
      </c>
      <c r="K47" s="1270"/>
      <c r="L47" s="1269">
        <f t="shared" si="10"/>
        <v>0</v>
      </c>
      <c r="M47" s="1271" t="str">
        <f t="shared" si="4"/>
        <v>N/A</v>
      </c>
      <c r="N47" s="1266"/>
      <c r="O47" s="1278" t="str">
        <f>IFERROR(IF(VLOOKUP(A47,'Reference Records'!$B$12:$D$25,3,FALSE)=0,"",VLOOKUP(A47,'Reference Records'!$B$12:$D$25,3,FALSE)),"")</f>
        <v/>
      </c>
      <c r="P47" s="1278"/>
      <c r="Q47" s="1278" t="s">
        <v>1394</v>
      </c>
      <c r="R47" s="1083"/>
      <c r="S47" s="1083"/>
      <c r="T47" s="1113"/>
    </row>
    <row r="48" spans="1:20" ht="12.75" hidden="1" customHeight="1" x14ac:dyDescent="0.2">
      <c r="A48" s="1340"/>
      <c r="B48" s="1340"/>
      <c r="C48" s="1269">
        <v>0</v>
      </c>
      <c r="D48" s="1269">
        <f>'PR Expenditure_7A'!D49</f>
        <v>0</v>
      </c>
      <c r="E48" s="1270"/>
      <c r="F48" s="1269">
        <f t="shared" si="8"/>
        <v>0</v>
      </c>
      <c r="G48" s="1271" t="str">
        <f t="shared" si="9"/>
        <v>N/A</v>
      </c>
      <c r="H48" s="1052"/>
      <c r="I48" s="522"/>
      <c r="J48" s="1272">
        <v>0</v>
      </c>
      <c r="K48" s="1270"/>
      <c r="L48" s="1269">
        <f t="shared" si="10"/>
        <v>0</v>
      </c>
      <c r="M48" s="1271" t="str">
        <f t="shared" si="4"/>
        <v>N/A</v>
      </c>
      <c r="N48" s="1266"/>
      <c r="O48" s="1278" t="str">
        <f>IFERROR(IF(VLOOKUP(A48,'Reference Records'!$B$12:$D$25,3,FALSE)=0,"",VLOOKUP(A48,'Reference Records'!$B$12:$D$25,3,FALSE)),"")</f>
        <v/>
      </c>
      <c r="P48" s="1278"/>
      <c r="Q48" s="1278" t="s">
        <v>1395</v>
      </c>
      <c r="R48" s="1083"/>
      <c r="S48" s="1083"/>
      <c r="T48" s="1113"/>
    </row>
    <row r="49" spans="1:20" ht="12.75" hidden="1" customHeight="1" x14ac:dyDescent="0.2">
      <c r="A49" s="1340"/>
      <c r="B49" s="1340"/>
      <c r="C49" s="1269">
        <v>0</v>
      </c>
      <c r="D49" s="1269">
        <f>'PR Expenditure_7A'!D50</f>
        <v>0</v>
      </c>
      <c r="E49" s="1270"/>
      <c r="F49" s="1269">
        <f t="shared" si="8"/>
        <v>0</v>
      </c>
      <c r="G49" s="1271" t="str">
        <f t="shared" si="9"/>
        <v>N/A</v>
      </c>
      <c r="H49" s="1052"/>
      <c r="I49" s="522"/>
      <c r="J49" s="1272">
        <v>0</v>
      </c>
      <c r="K49" s="1270"/>
      <c r="L49" s="1269">
        <f t="shared" si="10"/>
        <v>0</v>
      </c>
      <c r="M49" s="1271" t="str">
        <f t="shared" si="4"/>
        <v>N/A</v>
      </c>
      <c r="N49" s="1266"/>
      <c r="O49" s="1278" t="str">
        <f>IFERROR(IF(VLOOKUP(A49,'Reference Records'!$B$12:$D$25,3,FALSE)=0,"",VLOOKUP(A49,'Reference Records'!$B$12:$D$25,3,FALSE)),"")</f>
        <v/>
      </c>
      <c r="P49" s="1278"/>
      <c r="Q49" s="1278" t="s">
        <v>1396</v>
      </c>
      <c r="R49" s="1083"/>
      <c r="S49" s="1083"/>
      <c r="T49" s="1113"/>
    </row>
    <row r="50" spans="1:20" ht="12.75" hidden="1" customHeight="1" x14ac:dyDescent="0.2">
      <c r="A50" s="1340"/>
      <c r="B50" s="1340"/>
      <c r="C50" s="1269">
        <v>0</v>
      </c>
      <c r="D50" s="1269">
        <f>'PR Expenditure_7A'!D51</f>
        <v>0</v>
      </c>
      <c r="E50" s="1270"/>
      <c r="F50" s="1269">
        <f t="shared" si="8"/>
        <v>0</v>
      </c>
      <c r="G50" s="1271" t="str">
        <f t="shared" si="9"/>
        <v>N/A</v>
      </c>
      <c r="H50" s="1052"/>
      <c r="I50" s="522"/>
      <c r="J50" s="1272">
        <v>0</v>
      </c>
      <c r="K50" s="1270"/>
      <c r="L50" s="1269">
        <f t="shared" si="10"/>
        <v>0</v>
      </c>
      <c r="M50" s="1271" t="str">
        <f t="shared" si="4"/>
        <v>N/A</v>
      </c>
      <c r="N50" s="1266"/>
      <c r="O50" s="1278" t="str">
        <f>IFERROR(IF(VLOOKUP(A50,'Reference Records'!$B$12:$D$25,3,FALSE)=0,"",VLOOKUP(A50,'Reference Records'!$B$12:$D$25,3,FALSE)),"")</f>
        <v/>
      </c>
      <c r="P50" s="1278"/>
      <c r="Q50" s="1278" t="s">
        <v>1397</v>
      </c>
      <c r="R50" s="1083"/>
      <c r="S50" s="1083"/>
      <c r="T50" s="1113"/>
    </row>
    <row r="51" spans="1:20" ht="12.75" hidden="1" customHeight="1" x14ac:dyDescent="0.2">
      <c r="A51" s="1340"/>
      <c r="B51" s="1340"/>
      <c r="C51" s="1269">
        <v>0</v>
      </c>
      <c r="D51" s="1269">
        <f>'PR Expenditure_7A'!D52</f>
        <v>0</v>
      </c>
      <c r="E51" s="1270"/>
      <c r="F51" s="1269">
        <f t="shared" si="8"/>
        <v>0</v>
      </c>
      <c r="G51" s="1271" t="str">
        <f t="shared" si="9"/>
        <v>N/A</v>
      </c>
      <c r="H51" s="1052"/>
      <c r="I51" s="522"/>
      <c r="J51" s="1272">
        <v>0</v>
      </c>
      <c r="K51" s="1270"/>
      <c r="L51" s="1269">
        <f t="shared" si="10"/>
        <v>0</v>
      </c>
      <c r="M51" s="1271" t="str">
        <f t="shared" si="4"/>
        <v>N/A</v>
      </c>
      <c r="N51" s="1266"/>
      <c r="O51" s="1278" t="str">
        <f>IFERROR(IF(VLOOKUP(A51,'Reference Records'!$B$12:$D$25,3,FALSE)=0,"",VLOOKUP(A51,'Reference Records'!$B$12:$D$25,3,FALSE)),"")</f>
        <v/>
      </c>
      <c r="P51" s="1278"/>
      <c r="Q51" s="1278" t="s">
        <v>1398</v>
      </c>
      <c r="R51" s="1083"/>
      <c r="S51" s="1083"/>
      <c r="T51" s="1113"/>
    </row>
    <row r="52" spans="1:20" ht="12.75" hidden="1" customHeight="1" x14ac:dyDescent="0.2">
      <c r="A52" s="1340"/>
      <c r="B52" s="1340"/>
      <c r="C52" s="1269">
        <v>0</v>
      </c>
      <c r="D52" s="1269">
        <f>'PR Expenditure_7A'!D53</f>
        <v>0</v>
      </c>
      <c r="E52" s="1270"/>
      <c r="F52" s="1269">
        <f t="shared" si="8"/>
        <v>0</v>
      </c>
      <c r="G52" s="1271" t="str">
        <f t="shared" si="9"/>
        <v>N/A</v>
      </c>
      <c r="H52" s="1052"/>
      <c r="I52" s="522"/>
      <c r="J52" s="1272">
        <v>0</v>
      </c>
      <c r="K52" s="1270"/>
      <c r="L52" s="1269">
        <f t="shared" si="10"/>
        <v>0</v>
      </c>
      <c r="M52" s="1271" t="str">
        <f t="shared" si="4"/>
        <v>N/A</v>
      </c>
      <c r="N52" s="1266"/>
      <c r="O52" s="1278" t="str">
        <f>IFERROR(IF(VLOOKUP(A52,'Reference Records'!$B$12:$D$25,3,FALSE)=0,"",VLOOKUP(A52,'Reference Records'!$B$12:$D$25,3,FALSE)),"")</f>
        <v/>
      </c>
      <c r="P52" s="1278"/>
      <c r="Q52" s="1278" t="s">
        <v>1399</v>
      </c>
      <c r="R52" s="1083"/>
      <c r="S52" s="1083"/>
      <c r="T52" s="1113"/>
    </row>
    <row r="53" spans="1:20" ht="12.75" hidden="1" customHeight="1" x14ac:dyDescent="0.2">
      <c r="A53" s="1340"/>
      <c r="B53" s="1340"/>
      <c r="C53" s="1269">
        <v>0</v>
      </c>
      <c r="D53" s="1269">
        <f>'PR Expenditure_7A'!D54</f>
        <v>0</v>
      </c>
      <c r="E53" s="1270"/>
      <c r="F53" s="1269">
        <f t="shared" si="8"/>
        <v>0</v>
      </c>
      <c r="G53" s="1271" t="str">
        <f t="shared" si="9"/>
        <v>N/A</v>
      </c>
      <c r="H53" s="1052"/>
      <c r="I53" s="522"/>
      <c r="J53" s="1272">
        <v>0</v>
      </c>
      <c r="K53" s="1270"/>
      <c r="L53" s="1269">
        <f t="shared" si="10"/>
        <v>0</v>
      </c>
      <c r="M53" s="1271" t="str">
        <f t="shared" si="4"/>
        <v>N/A</v>
      </c>
      <c r="N53" s="1266"/>
      <c r="O53" s="1278" t="str">
        <f>IFERROR(IF(VLOOKUP(A53,'Reference Records'!$B$12:$D$25,3,FALSE)=0,"",VLOOKUP(A53,'Reference Records'!$B$12:$D$25,3,FALSE)),"")</f>
        <v/>
      </c>
      <c r="P53" s="1278"/>
      <c r="Q53" s="1278" t="s">
        <v>1400</v>
      </c>
      <c r="R53" s="1083"/>
      <c r="S53" s="1083"/>
      <c r="T53" s="1113"/>
    </row>
    <row r="54" spans="1:20" ht="12.75" hidden="1" customHeight="1" x14ac:dyDescent="0.2">
      <c r="A54" s="1340"/>
      <c r="B54" s="1340"/>
      <c r="C54" s="1269">
        <v>0</v>
      </c>
      <c r="D54" s="1269">
        <f>'PR Expenditure_7A'!D55</f>
        <v>0</v>
      </c>
      <c r="E54" s="1270"/>
      <c r="F54" s="1269">
        <f t="shared" si="8"/>
        <v>0</v>
      </c>
      <c r="G54" s="1271" t="str">
        <f t="shared" si="9"/>
        <v>N/A</v>
      </c>
      <c r="H54" s="1052"/>
      <c r="I54" s="522"/>
      <c r="J54" s="1272">
        <v>0</v>
      </c>
      <c r="K54" s="1270"/>
      <c r="L54" s="1269">
        <f t="shared" si="10"/>
        <v>0</v>
      </c>
      <c r="M54" s="1271" t="str">
        <f t="shared" si="4"/>
        <v>N/A</v>
      </c>
      <c r="N54" s="1266"/>
      <c r="O54" s="1278" t="str">
        <f>IFERROR(IF(VLOOKUP(A54,'Reference Records'!$B$12:$D$25,3,FALSE)=0,"",VLOOKUP(A54,'Reference Records'!$B$12:$D$25,3,FALSE)),"")</f>
        <v/>
      </c>
      <c r="P54" s="1278"/>
      <c r="Q54" s="1278" t="s">
        <v>1401</v>
      </c>
      <c r="R54" s="1083"/>
      <c r="S54" s="1083"/>
      <c r="T54" s="1113"/>
    </row>
    <row r="55" spans="1:20" ht="12.75" hidden="1" customHeight="1" x14ac:dyDescent="0.2">
      <c r="A55" s="1340"/>
      <c r="B55" s="1340"/>
      <c r="C55" s="1269">
        <v>0</v>
      </c>
      <c r="D55" s="1269">
        <f>'PR Expenditure_7A'!D56</f>
        <v>0</v>
      </c>
      <c r="E55" s="1270"/>
      <c r="F55" s="1269">
        <f t="shared" si="8"/>
        <v>0</v>
      </c>
      <c r="G55" s="1271" t="str">
        <f t="shared" si="9"/>
        <v>N/A</v>
      </c>
      <c r="H55" s="1052"/>
      <c r="I55" s="522"/>
      <c r="J55" s="1272">
        <v>0</v>
      </c>
      <c r="K55" s="1270"/>
      <c r="L55" s="1269">
        <f t="shared" si="10"/>
        <v>0</v>
      </c>
      <c r="M55" s="1271" t="str">
        <f t="shared" si="4"/>
        <v>N/A</v>
      </c>
      <c r="N55" s="1266"/>
      <c r="O55" s="1278" t="str">
        <f>IFERROR(IF(VLOOKUP(A55,'Reference Records'!$B$12:$D$25,3,FALSE)=0,"",VLOOKUP(A55,'Reference Records'!$B$12:$D$25,3,FALSE)),"")</f>
        <v/>
      </c>
      <c r="P55" s="1278"/>
      <c r="Q55" s="1278" t="s">
        <v>1402</v>
      </c>
      <c r="R55" s="1083"/>
      <c r="S55" s="1083"/>
      <c r="T55" s="1113"/>
    </row>
    <row r="56" spans="1:20" ht="12.75" hidden="1" customHeight="1" x14ac:dyDescent="0.2">
      <c r="A56" s="1340"/>
      <c r="B56" s="1340"/>
      <c r="C56" s="1269">
        <v>0</v>
      </c>
      <c r="D56" s="1269">
        <f>'PR Expenditure_7A'!D57</f>
        <v>0</v>
      </c>
      <c r="E56" s="1270"/>
      <c r="F56" s="1269">
        <f t="shared" si="8"/>
        <v>0</v>
      </c>
      <c r="G56" s="1271" t="str">
        <f t="shared" si="9"/>
        <v>N/A</v>
      </c>
      <c r="H56" s="1052"/>
      <c r="I56" s="522"/>
      <c r="J56" s="1272">
        <v>0</v>
      </c>
      <c r="K56" s="1270"/>
      <c r="L56" s="1269">
        <f t="shared" si="10"/>
        <v>0</v>
      </c>
      <c r="M56" s="1271" t="str">
        <f t="shared" si="4"/>
        <v>N/A</v>
      </c>
      <c r="N56" s="1266"/>
      <c r="O56" s="1278" t="str">
        <f>IFERROR(IF(VLOOKUP(A56,'Reference Records'!$B$12:$D$25,3,FALSE)=0,"",VLOOKUP(A56,'Reference Records'!$B$12:$D$25,3,FALSE)),"")</f>
        <v/>
      </c>
      <c r="P56" s="1278"/>
      <c r="Q56" s="1278" t="s">
        <v>1403</v>
      </c>
      <c r="R56" s="1083"/>
      <c r="S56" s="1083"/>
      <c r="T56" s="1113"/>
    </row>
    <row r="57" spans="1:20" ht="1.5" hidden="1" customHeight="1" thickBot="1" x14ac:dyDescent="0.25">
      <c r="A57" s="585"/>
      <c r="B57" s="586"/>
      <c r="C57" s="586"/>
      <c r="D57" s="586"/>
      <c r="E57" s="586"/>
      <c r="F57" s="586"/>
      <c r="G57" s="586"/>
      <c r="H57" s="586"/>
      <c r="I57" s="974"/>
      <c r="J57" s="586"/>
      <c r="K57" s="586"/>
      <c r="L57" s="586"/>
      <c r="M57" s="586"/>
      <c r="N57" s="592"/>
      <c r="O57" s="1084"/>
      <c r="P57" s="1082"/>
      <c r="Q57" s="1083"/>
      <c r="R57" s="1083"/>
      <c r="S57" s="1083"/>
      <c r="T57" s="1113"/>
    </row>
    <row r="58" spans="1:20" ht="23.25" customHeight="1" thickBot="1" x14ac:dyDescent="0.25">
      <c r="A58" s="975" t="s">
        <v>86</v>
      </c>
      <c r="B58" s="976"/>
      <c r="C58" s="977">
        <f>ROUND(SUM(C31:C57),2)</f>
        <v>5689012.5099999998</v>
      </c>
      <c r="D58" s="977">
        <f>ROUND(SUM(D31:D57),2)</f>
        <v>3017112.37</v>
      </c>
      <c r="E58" s="977">
        <f>ROUND(SUM(E31:E57),2)</f>
        <v>0</v>
      </c>
      <c r="F58" s="977">
        <f>ROUND(SUM(F31:F57),2)</f>
        <v>2671900.15</v>
      </c>
      <c r="G58" s="978">
        <f>(D58+E58)/C58</f>
        <v>0.5303402593502119</v>
      </c>
      <c r="H58" s="978"/>
      <c r="I58" s="979"/>
      <c r="J58" s="977">
        <f>ROUND(SUM(J31:J57),2)</f>
        <v>5689012.5099999998</v>
      </c>
      <c r="K58" s="977">
        <f>ROUND(SUM(K31:K57),2)</f>
        <v>0</v>
      </c>
      <c r="L58" s="977">
        <f>ROUND(SUM(L31:L57),2)</f>
        <v>5689012.5099999998</v>
      </c>
      <c r="M58" s="978">
        <f>K58/J58</f>
        <v>0</v>
      </c>
      <c r="N58" s="361"/>
      <c r="O58" s="1082"/>
      <c r="P58" s="1082"/>
      <c r="Q58" s="1083"/>
      <c r="R58" s="1083"/>
      <c r="S58" s="1083"/>
      <c r="T58" s="1113"/>
    </row>
    <row r="59" spans="1:20" x14ac:dyDescent="0.2">
      <c r="O59" s="1083"/>
      <c r="P59" s="1083"/>
      <c r="Q59" s="1083"/>
      <c r="R59" s="1083"/>
      <c r="S59" s="1083"/>
      <c r="T59" s="1113"/>
    </row>
    <row r="60" spans="1:20" ht="15.75" thickBot="1" x14ac:dyDescent="0.25">
      <c r="A60" s="109" t="s">
        <v>268</v>
      </c>
      <c r="B60" s="109"/>
      <c r="C60" s="110"/>
      <c r="D60" s="110"/>
      <c r="E60" s="110"/>
      <c r="F60" s="111"/>
      <c r="G60" s="112"/>
      <c r="H60" s="112"/>
      <c r="I60" s="358"/>
      <c r="J60" s="112"/>
      <c r="K60" s="112"/>
      <c r="L60" s="112"/>
      <c r="M60" s="112"/>
      <c r="O60" s="1083"/>
      <c r="P60" s="1083"/>
      <c r="Q60" s="1083"/>
      <c r="R60" s="1083"/>
      <c r="S60" s="1083"/>
    </row>
    <row r="61" spans="1:20" ht="15" customHeight="1" x14ac:dyDescent="0.2">
      <c r="A61" s="583"/>
      <c r="B61" s="584"/>
      <c r="C61" s="584"/>
      <c r="D61" s="584"/>
      <c r="E61" s="584"/>
      <c r="F61" s="584"/>
      <c r="G61" s="584"/>
      <c r="H61" s="584"/>
      <c r="I61" s="615"/>
      <c r="J61" s="584"/>
      <c r="K61" s="584"/>
      <c r="L61" s="584"/>
      <c r="M61" s="584"/>
      <c r="N61" s="589"/>
      <c r="O61" s="1085"/>
      <c r="P61" s="1082"/>
      <c r="Q61" s="1083"/>
      <c r="R61" s="1083"/>
      <c r="S61" s="1083"/>
    </row>
    <row r="62" spans="1:20" s="360" customFormat="1" ht="60" x14ac:dyDescent="0.2">
      <c r="A62" s="1259" t="s">
        <v>402</v>
      </c>
      <c r="B62" s="1259" t="s">
        <v>401</v>
      </c>
      <c r="C62" s="813" t="s">
        <v>40</v>
      </c>
      <c r="D62" s="813" t="s">
        <v>414</v>
      </c>
      <c r="E62" s="813" t="s">
        <v>395</v>
      </c>
      <c r="F62" s="813" t="s">
        <v>83</v>
      </c>
      <c r="G62" s="813" t="s">
        <v>614</v>
      </c>
      <c r="H62" s="813" t="s">
        <v>214</v>
      </c>
      <c r="I62" s="522"/>
      <c r="J62" s="813" t="s">
        <v>22</v>
      </c>
      <c r="K62" s="813" t="s">
        <v>137</v>
      </c>
      <c r="L62" s="813" t="s">
        <v>138</v>
      </c>
      <c r="M62" s="813" t="s">
        <v>614</v>
      </c>
      <c r="N62" s="1279"/>
      <c r="O62" s="1276" t="s">
        <v>356</v>
      </c>
      <c r="P62" s="1080"/>
      <c r="Q62" s="1081"/>
      <c r="R62" s="1081"/>
      <c r="S62" s="1081"/>
    </row>
    <row r="63" spans="1:20" ht="21.75" hidden="1" customHeight="1" x14ac:dyDescent="0.2">
      <c r="A63" s="1277" t="s">
        <v>415</v>
      </c>
      <c r="B63" s="1280" t="s">
        <v>408</v>
      </c>
      <c r="C63" s="1269" t="s">
        <v>386</v>
      </c>
      <c r="D63" s="1269" t="str">
        <f>'PR Expenditure_7A'!D64</f>
        <v>[PR Actual Expenditure]</v>
      </c>
      <c r="E63" s="1281" t="s">
        <v>390</v>
      </c>
      <c r="F63" s="1269">
        <f>IFERROR((C63)-(D63+E63),0)</f>
        <v>0</v>
      </c>
      <c r="G63" s="1271" t="e">
        <f>IF(AND((C63)=0,(D63+E63)=0),"N/A",IF(AND((C63)=0,(D63+E63)&lt;&gt;0),"Not Budgeted",(D63+E63)/(C63)))</f>
        <v>#VALUE!</v>
      </c>
      <c r="H63" s="1052"/>
      <c r="I63" s="522"/>
      <c r="J63" s="1272" t="s">
        <v>387</v>
      </c>
      <c r="K63" s="1281" t="s">
        <v>391</v>
      </c>
      <c r="L63" s="1269">
        <f>IFERROR(J63-K63,0)</f>
        <v>0</v>
      </c>
      <c r="M63" s="1271" t="e">
        <f>IF(AND(J63=0,K63=0),"N/A",IF(AND(J63=0,K63&lt;&gt;0),"Not Budgeted",K63/J63))</f>
        <v>#VALUE!</v>
      </c>
      <c r="N63" s="1266"/>
      <c r="O63" s="1278" t="s">
        <v>355</v>
      </c>
      <c r="P63" s="1082"/>
      <c r="Q63" s="1083"/>
      <c r="R63" s="1083"/>
      <c r="S63" s="1083"/>
    </row>
    <row r="64" spans="1:20" ht="21.75" customHeight="1" x14ac:dyDescent="0.2">
      <c r="A64" s="1277" t="s">
        <v>1084</v>
      </c>
      <c r="B64" s="1280" t="s">
        <v>1085</v>
      </c>
      <c r="C64" s="1269">
        <v>4214000.3436930003</v>
      </c>
      <c r="D64" s="1269">
        <f>'PR Expenditure_7A'!D65</f>
        <v>1755401.4072518111</v>
      </c>
      <c r="E64" s="1281"/>
      <c r="F64" s="1269">
        <f>IFERROR((C64)-(D64+E64),0)</f>
        <v>2458598.9364411891</v>
      </c>
      <c r="G64" s="1271">
        <f>IF(AND((C64)=0,(D64+E64)=0),"N/A",IF(AND((C64)=0,(D64+E64)&lt;&gt;0),"Not Budgeted",(D64+E64)/(C64)))</f>
        <v>0.41656413480817128</v>
      </c>
      <c r="H64" s="1052"/>
      <c r="I64" s="522"/>
      <c r="J64" s="1272">
        <v>4214000.3436930003</v>
      </c>
      <c r="K64" s="1281"/>
      <c r="L64" s="1269">
        <f>IFERROR(J64-K64,0)</f>
        <v>4214000.3436930003</v>
      </c>
      <c r="M64" s="1271">
        <f>IF(AND(J64=0,K64=0),"N/A",IF(AND(J64=0,K64&lt;&gt;0),"Not Budgeted",K64/J64))</f>
        <v>0</v>
      </c>
      <c r="N64" s="1266"/>
      <c r="O64" s="1278" t="s">
        <v>1086</v>
      </c>
      <c r="P64" s="1082"/>
      <c r="Q64" s="1083"/>
      <c r="R64" s="1083"/>
      <c r="S64" s="1083"/>
    </row>
    <row r="65" spans="1:19" ht="21.75" customHeight="1" x14ac:dyDescent="0.2">
      <c r="A65" s="1277" t="s">
        <v>1087</v>
      </c>
      <c r="B65" s="1280" t="s">
        <v>1085</v>
      </c>
      <c r="C65" s="1269">
        <v>612047.97436840006</v>
      </c>
      <c r="D65" s="1269">
        <f>'PR Expenditure_7A'!D66</f>
        <v>407698.95953275333</v>
      </c>
      <c r="E65" s="1281"/>
      <c r="F65" s="1269">
        <f>IFERROR((C65)-(D65+E65),0)</f>
        <v>204349.01483564673</v>
      </c>
      <c r="G65" s="1271">
        <f>IF(AND((C65)=0,(D65+E65)=0),"N/A",IF(AND((C65)=0,(D65+E65)&lt;&gt;0),"Not Budgeted",(D65+E65)/(C65)))</f>
        <v>0.66612255347054505</v>
      </c>
      <c r="H65" s="1052"/>
      <c r="I65" s="522"/>
      <c r="J65" s="1272">
        <v>612047.97436840006</v>
      </c>
      <c r="K65" s="1281"/>
      <c r="L65" s="1269">
        <f>IFERROR(J65-K65,0)</f>
        <v>612047.97436840006</v>
      </c>
      <c r="M65" s="1271">
        <f>IF(AND(J65=0,K65=0),"N/A",IF(AND(J65=0,K65&lt;&gt;0),"Not Budgeted",K65/J65))</f>
        <v>0</v>
      </c>
      <c r="N65" s="1266"/>
      <c r="O65" s="1278" t="s">
        <v>1088</v>
      </c>
      <c r="P65" s="1082"/>
      <c r="Q65" s="1083"/>
      <c r="R65" s="1083"/>
      <c r="S65" s="1083"/>
    </row>
    <row r="66" spans="1:19" ht="21.75" customHeight="1" x14ac:dyDescent="0.2">
      <c r="A66" s="1277" t="s">
        <v>1089</v>
      </c>
      <c r="B66" s="1280" t="s">
        <v>1090</v>
      </c>
      <c r="C66" s="1269">
        <v>862964.19672000001</v>
      </c>
      <c r="D66" s="1269">
        <f>'PR Expenditure_7A'!D67</f>
        <v>854012</v>
      </c>
      <c r="E66" s="1281"/>
      <c r="F66" s="1269">
        <f>IFERROR((C66)-(D66+E66),0)</f>
        <v>8952.1967200000072</v>
      </c>
      <c r="G66" s="1271">
        <f>IF(AND((C66)=0,(D66+E66)=0),"N/A",IF(AND((C66)=0,(D66+E66)&lt;&gt;0),"Not Budgeted",(D66+E66)/(C66)))</f>
        <v>0.98962622464057493</v>
      </c>
      <c r="H66" s="1052"/>
      <c r="I66" s="522"/>
      <c r="J66" s="1272">
        <v>862964.19672000001</v>
      </c>
      <c r="K66" s="1281"/>
      <c r="L66" s="1269">
        <f>IFERROR(J66-K66,0)</f>
        <v>862964.19672000001</v>
      </c>
      <c r="M66" s="1271">
        <f>IF(AND(J66=0,K66=0),"N/A",IF(AND(J66=0,K66&lt;&gt;0),"Not Budgeted",K66/J66))</f>
        <v>0</v>
      </c>
      <c r="N66" s="1266"/>
      <c r="O66" s="1278" t="s">
        <v>1091</v>
      </c>
      <c r="P66" s="1082"/>
      <c r="Q66" s="1083"/>
      <c r="R66" s="1083"/>
      <c r="S66" s="1083"/>
    </row>
    <row r="67" spans="1:19" ht="12.75" hidden="1" customHeight="1" x14ac:dyDescent="0.2">
      <c r="A67" s="594"/>
      <c r="B67" s="574"/>
      <c r="C67" s="569"/>
      <c r="D67" s="569"/>
      <c r="E67" s="570"/>
      <c r="F67" s="569"/>
      <c r="G67" s="571"/>
      <c r="H67" s="929"/>
      <c r="I67" s="522"/>
      <c r="J67" s="570"/>
      <c r="K67" s="570"/>
      <c r="L67" s="569"/>
      <c r="M67" s="571"/>
      <c r="N67" s="361"/>
      <c r="O67" s="1082"/>
      <c r="P67" s="1082"/>
      <c r="Q67" s="1083"/>
      <c r="R67" s="1083"/>
      <c r="S67" s="1083"/>
    </row>
    <row r="68" spans="1:19" ht="21.75" customHeight="1" x14ac:dyDescent="0.2">
      <c r="A68" s="588" t="s">
        <v>86</v>
      </c>
      <c r="B68" s="568"/>
      <c r="C68" s="572">
        <f>ROUND(SUM(C63:C67),2)</f>
        <v>5689012.5099999998</v>
      </c>
      <c r="D68" s="572">
        <f>ROUND(SUM(D63:D67),2)</f>
        <v>3017112.37</v>
      </c>
      <c r="E68" s="572">
        <f>ROUND(SUM(E63:E67),2)</f>
        <v>0</v>
      </c>
      <c r="F68" s="572">
        <f>ROUND(SUM(F63:F67),2)</f>
        <v>2671900.15</v>
      </c>
      <c r="G68" s="958">
        <f>(D68+E68)/C68</f>
        <v>0.5303402593502119</v>
      </c>
      <c r="H68" s="573"/>
      <c r="I68" s="522"/>
      <c r="J68" s="572">
        <f>ROUND(SUM(J63:J67),2)</f>
        <v>5689012.5099999998</v>
      </c>
      <c r="K68" s="572">
        <f>ROUND(SUM(K63:K67),2)</f>
        <v>0</v>
      </c>
      <c r="L68" s="572">
        <f>ROUND(SUM(L63:L67),2)</f>
        <v>5689012.5099999998</v>
      </c>
      <c r="M68" s="573">
        <f>K68/J68</f>
        <v>0</v>
      </c>
      <c r="N68" s="361"/>
      <c r="O68" s="1082"/>
      <c r="P68" s="1082"/>
      <c r="Q68" s="1083"/>
      <c r="R68" s="1083"/>
      <c r="S68" s="1083"/>
    </row>
    <row r="69" spans="1:19" ht="3.6" customHeight="1" thickBot="1" x14ac:dyDescent="0.25">
      <c r="A69" s="591"/>
      <c r="B69" s="593"/>
      <c r="C69" s="593"/>
      <c r="D69" s="593"/>
      <c r="E69" s="593"/>
      <c r="F69" s="593"/>
      <c r="G69" s="593"/>
      <c r="H69" s="593"/>
      <c r="I69" s="616"/>
      <c r="J69" s="593"/>
      <c r="K69" s="593"/>
      <c r="L69" s="593"/>
      <c r="M69" s="593"/>
      <c r="N69" s="592"/>
      <c r="O69" s="1084"/>
      <c r="P69" s="1082"/>
      <c r="Q69" s="1083"/>
      <c r="R69" s="1083"/>
      <c r="S69" s="1083"/>
    </row>
    <row r="70" spans="1:19" x14ac:dyDescent="0.2">
      <c r="O70" s="1083"/>
      <c r="P70" s="1083"/>
      <c r="Q70" s="1083"/>
      <c r="R70" s="1083"/>
      <c r="S70" s="1083"/>
    </row>
    <row r="71" spans="1:19" ht="66.599999999999994" customHeight="1" x14ac:dyDescent="0.2">
      <c r="A71" s="944" t="s">
        <v>89</v>
      </c>
      <c r="B71" s="359"/>
      <c r="C71" s="932" t="str">
        <f>IF(AND(ROUND(C26,0)=ROUND(C58,0),ROUND(C68,0)=ROUND(C58,0)),"OK","WARNING - Sum of the three tables not matching")</f>
        <v>OK</v>
      </c>
      <c r="D71" s="932" t="str">
        <f>IF(AND(ROUND(D26,0)=ROUND(D58,0),ROUND(D68,0)=ROUND(D58,0)),"OK","WARNING - Sum of the three tables not matching")</f>
        <v>OK</v>
      </c>
      <c r="E71" s="932" t="str">
        <f>IF(AND(ROUND(E26,0)=ROUND(E58,0),ROUND(E68,0)=ROUND(E58,0)),"OK","WARNING - Sum of the three tables not matching")</f>
        <v>OK</v>
      </c>
      <c r="F71" s="941"/>
      <c r="G71" s="941"/>
      <c r="H71" s="941"/>
      <c r="I71" s="942"/>
      <c r="J71" s="932" t="str">
        <f>IF(AND(ROUND(J26,0)=ROUND(J58,0),ROUND(J58,0)=ROUND(J68,0)),"OK","WARNING - Sum of the three tables not matching")</f>
        <v>OK</v>
      </c>
      <c r="K71" s="932" t="str">
        <f>IF(AND(ROUND(K26,0)=ROUND(K58,0),ROUND(K58,0)=ROUND(K68,0)),"OK","WARNING - Sum of the three tables not matching")</f>
        <v>OK</v>
      </c>
      <c r="O71" s="1083"/>
      <c r="P71" s="1083"/>
      <c r="Q71" s="1083"/>
      <c r="R71" s="1083"/>
      <c r="S71" s="1083"/>
    </row>
  </sheetData>
  <sheetProtection algorithmName="SHA-512" hashValue="Tc6nP8tiVivgBxTVIXSYWg7u9NxmgESRpvNCezF3IjznpkLDCI/twB6I//24FOS16BBXjAy2/YVIlPYguM91kg==" saltValue="BerRWjviQMnVRnRK93E6pg==" spinCount="100000" sheet="1" objects="1" scenarios="1" formatColumns="0" formatRows="0" sort="0" autoFilter="0"/>
  <autoFilter ref="A40:Q56"/>
  <mergeCells count="3">
    <mergeCell ref="A1:H1"/>
    <mergeCell ref="E2:F2"/>
    <mergeCell ref="E3:F3"/>
  </mergeCells>
  <conditionalFormatting sqref="C71:E71">
    <cfRule type="expression" dxfId="60" priority="10">
      <formula>C71="WARNING - Sum of the three tables not matching"</formula>
    </cfRule>
  </conditionalFormatting>
  <conditionalFormatting sqref="J71:K71">
    <cfRule type="expression" dxfId="59" priority="8">
      <formula>J71="WARNING - Sum of the three tables not matching"</formula>
    </cfRule>
  </conditionalFormatting>
  <dataValidations count="11">
    <dataValidation type="list" allowBlank="1" showInputMessage="1" showErrorMessage="1" sqref="B63:B67">
      <formula1>Type_of_Recipient</formula1>
    </dataValidation>
    <dataValidation type="list" allowBlank="1" showInputMessage="1" showErrorMessage="1" sqref="B3">
      <formula1>"Select,Yes,No"</formula1>
    </dataValidation>
    <dataValidation type="list" allowBlank="1" showInputMessage="1" showErrorMessage="1" sqref="B41:B56">
      <formula1>OFFSET(ModuleStart,MATCH(O41,ModuleColumn,0)-1,3,COUNTIF(ModuleColumn,O41),1)</formula1>
    </dataValidation>
    <dataValidation type="list" allowBlank="1" showInputMessage="1" showErrorMessage="1" sqref="A41:A56">
      <formula1>Module_List</formula1>
    </dataValidation>
    <dataValidation type="list" allowBlank="1" showInputMessage="1" showErrorMessage="1" sqref="A24">
      <formula1>Cost_Input</formula1>
    </dataValidation>
    <dataValidation type="decimal" allowBlank="1" showInputMessage="1" showErrorMessage="1" errorTitle="X-Author for Excel" error="Please enter a valid numeric value. Valid range for Budget for Reporting Period is -9999999999.99 to 9999999999.99." promptTitle="X-Author for Excel" sqref="C7:C20 C31:C39 C63:C66 C41:C56">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E7:E20 E31:E39 E63:E66 E41:E56">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J7:J20 J31:J39 J63:J66 J41:J56">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K7:K20 K31:K39 K63:K66 K41:K56">
      <formula1>-9999999999.99</formula1>
      <formula2>9999999999.99</formula2>
    </dataValidation>
    <dataValidation type="custom" allowBlank="1" showInputMessage="1" showErrorMessage="1" errorTitle="X-Author for Excel" error="Id and Lookup fields are not editable." promptTitle="X-Author for Excel" sqref="O7:O20 O31:O39 O63:O66 Q41:Q56">
      <formula1>""</formula1>
    </dataValidation>
    <dataValidation type="decimal" allowBlank="1" showInputMessage="1" showErrorMessage="1" errorTitle="X-Author for Excel" error="Please enter a valid numeric value. Valid range for Cost Grouping Number is -99999 to 99999." promptTitle="X-Author for Excel" sqref="P7:P20">
      <formula1>-99999</formula1>
      <formula2>99999</formula2>
    </dataValidation>
  </dataValidations>
  <printOptions horizontalCentered="1"/>
  <pageMargins left="0.25" right="0.25" top="0.75" bottom="0.75" header="0.3" footer="0.3"/>
  <pageSetup paperSize="9" scale="42"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7" id="{B26FEAD5-2997-434C-A7FC-44D1EC79DB58}">
            <xm:f>CoverSheet!$D$11="EUR"</xm:f>
            <x14:dxf>
              <numFmt numFmtId="188" formatCode="[$€-2]\ #,##0;[Red]\-[$€-2]\ #,##0"/>
            </x14:dxf>
          </x14:cfRule>
          <xm:sqref>C26:F26 J26:L26 C22:F22 J22:L22 C24:F24 J24:L24 C63:F68 J63:L68 C31:F56 J31:L56</xm:sqref>
        </x14:conditionalFormatting>
        <x14:conditionalFormatting xmlns:xm="http://schemas.microsoft.com/office/excel/2006/main">
          <x14:cfRule type="expression" priority="5" id="{B70AD16B-FC29-41E5-AF85-5E5DA56D54B7}">
            <xm:f>CoverSheet!$D$11="EUR"</xm:f>
            <x14:dxf>
              <numFmt numFmtId="188" formatCode="[$€-2]\ #,##0;[Red]\-[$€-2]\ #,##0"/>
            </x14:dxf>
          </x14:cfRule>
          <xm:sqref>C58:F58 J58:L58</xm:sqref>
        </x14:conditionalFormatting>
        <x14:conditionalFormatting xmlns:xm="http://schemas.microsoft.com/office/excel/2006/main">
          <x14:cfRule type="expression" priority="4" id="{A6EC35F5-0DDF-4F80-9286-5556AA82D463}">
            <xm:f>CoverSheet!$D$11="EUR"</xm:f>
            <x14:dxf>
              <numFmt numFmtId="188" formatCode="[$€-2]\ #,##0;[Red]\-[$€-2]\ #,##0"/>
            </x14:dxf>
          </x14:cfRule>
          <xm:sqref>C7:C20 J7:K20 E7:E20</xm:sqref>
        </x14:conditionalFormatting>
        <x14:conditionalFormatting xmlns:xm="http://schemas.microsoft.com/office/excel/2006/main">
          <x14:cfRule type="expression" priority="3" id="{758E1BC6-ABF4-48D9-B98B-08DCB5F58E27}">
            <xm:f>CoverSheet!$D$11="EUR"</xm:f>
            <x14:dxf>
              <numFmt numFmtId="188" formatCode="[$€-2]\ #,##0;[Red]\-[$€-2]\ #,##0"/>
            </x14:dxf>
          </x14:cfRule>
          <xm:sqref>D7:D20</xm:sqref>
        </x14:conditionalFormatting>
        <x14:conditionalFormatting xmlns:xm="http://schemas.microsoft.com/office/excel/2006/main">
          <x14:cfRule type="expression" priority="2" id="{FA035CCE-802A-49FD-8170-D3BB7CBBE109}">
            <xm:f>CoverSheet!$D$11="EUR"</xm:f>
            <x14:dxf>
              <numFmt numFmtId="188" formatCode="[$€-2]\ #,##0;[Red]\-[$€-2]\ #,##0"/>
            </x14:dxf>
          </x14:cfRule>
          <xm:sqref>F7:F20</xm:sqref>
        </x14:conditionalFormatting>
        <x14:conditionalFormatting xmlns:xm="http://schemas.microsoft.com/office/excel/2006/main">
          <x14:cfRule type="expression" priority="1" id="{B36CE3DE-317A-4325-B0EE-31F3F273A613}">
            <xm:f>CoverSheet!$D$11="EUR"</xm:f>
            <x14:dxf>
              <numFmt numFmtId="188" formatCode="[$€-2]\ #,##0;[Red]\-[$€-2]\ #,##0"/>
            </x14:dxf>
          </x14:cfRule>
          <xm:sqref>L7:L20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25"/>
  <sheetViews>
    <sheetView workbookViewId="0">
      <selection activeCell="C7" sqref="C7"/>
    </sheetView>
  </sheetViews>
  <sheetFormatPr defaultColWidth="8.85546875" defaultRowHeight="12.75" x14ac:dyDescent="0.2"/>
  <cols>
    <col min="1" max="1" width="29.85546875" style="365" bestFit="1" customWidth="1"/>
    <col min="2" max="2" width="30.85546875" style="365" bestFit="1" customWidth="1"/>
    <col min="3" max="3" width="13.140625" style="365" customWidth="1"/>
    <col min="4" max="4" width="14.85546875" style="365" customWidth="1"/>
    <col min="5" max="5" width="15.140625" style="365" customWidth="1"/>
    <col min="6" max="6" width="11.85546875" style="365" customWidth="1"/>
    <col min="7" max="16384" width="8.85546875" style="365"/>
  </cols>
  <sheetData>
    <row r="1" spans="1:6" x14ac:dyDescent="0.2">
      <c r="A1" s="772" t="s">
        <v>526</v>
      </c>
    </row>
    <row r="5" spans="1:6" x14ac:dyDescent="0.2">
      <c r="A5" s="365" t="s">
        <v>522</v>
      </c>
      <c r="B5" s="807">
        <v>43101</v>
      </c>
      <c r="C5" s="807">
        <f>IF(B5="",1/1/2000,B5)</f>
        <v>43101</v>
      </c>
    </row>
    <row r="6" spans="1:6" x14ac:dyDescent="0.2">
      <c r="A6" s="365" t="s">
        <v>523</v>
      </c>
      <c r="B6" s="807">
        <v>43465</v>
      </c>
      <c r="C6" s="807">
        <f>IF(B6="",1/1/2000,B6)</f>
        <v>43465</v>
      </c>
    </row>
    <row r="7" spans="1:6" x14ac:dyDescent="0.2">
      <c r="A7" s="365" t="s">
        <v>520</v>
      </c>
      <c r="B7" s="807">
        <v>43466</v>
      </c>
      <c r="C7" s="807">
        <f>IF(B7="",1/1/2000,B7)</f>
        <v>43466</v>
      </c>
    </row>
    <row r="8" spans="1:6" x14ac:dyDescent="0.2">
      <c r="A8" s="365" t="s">
        <v>521</v>
      </c>
      <c r="B8" s="807">
        <v>43646</v>
      </c>
      <c r="C8" s="807">
        <f>IF(B8="",1/1/2000,B8)</f>
        <v>43646</v>
      </c>
    </row>
    <row r="12" spans="1:6" x14ac:dyDescent="0.2">
      <c r="A12" s="772" t="s">
        <v>524</v>
      </c>
    </row>
    <row r="13" spans="1:6" x14ac:dyDescent="0.2">
      <c r="A13" s="1187" t="s">
        <v>504</v>
      </c>
      <c r="B13" s="1187" t="s">
        <v>500</v>
      </c>
      <c r="C13" s="1187" t="s">
        <v>502</v>
      </c>
      <c r="D13" s="1187">
        <v>-1</v>
      </c>
      <c r="E13" s="1187"/>
      <c r="F13" s="1187" t="s">
        <v>356</v>
      </c>
    </row>
    <row r="14" spans="1:6" hidden="1" x14ac:dyDescent="0.2">
      <c r="A14" s="1188" t="s">
        <v>503</v>
      </c>
      <c r="B14" s="1323" t="s">
        <v>499</v>
      </c>
      <c r="C14" s="1323" t="s">
        <v>501</v>
      </c>
      <c r="D14" s="1187">
        <f>D13+1</f>
        <v>0</v>
      </c>
      <c r="E14" s="1187" t="str">
        <f>TEXT(B14,"DD/MMM/YYYY")&amp;"-"&amp;TEXT(C14,"DD/MMM/YYYY")</f>
        <v>[Start Date]-[End date]</v>
      </c>
      <c r="F14" s="1187" t="s">
        <v>355</v>
      </c>
    </row>
    <row r="15" spans="1:6" x14ac:dyDescent="0.2">
      <c r="A15" s="1188" t="s">
        <v>1166</v>
      </c>
      <c r="B15" s="1323">
        <v>43101</v>
      </c>
      <c r="C15" s="1323">
        <v>43190</v>
      </c>
      <c r="D15" s="1187">
        <f>D14+1</f>
        <v>1</v>
      </c>
      <c r="E15" s="1187" t="str">
        <f>TEXT(B15,"DD/MMM/YYYY")&amp;"-"&amp;TEXT(C15,"DD/MMM/YYYY")</f>
        <v>01/Jan/2018-31/Mar/2018</v>
      </c>
      <c r="F15" s="1187" t="s">
        <v>1167</v>
      </c>
    </row>
    <row r="16" spans="1:6" x14ac:dyDescent="0.2">
      <c r="A16" s="1188" t="s">
        <v>1168</v>
      </c>
      <c r="B16" s="1323">
        <v>43191</v>
      </c>
      <c r="C16" s="1323">
        <v>43281</v>
      </c>
      <c r="D16" s="1187">
        <f>D15+1</f>
        <v>2</v>
      </c>
      <c r="E16" s="1187" t="str">
        <f>TEXT(B16,"DD/MMM/YYYY")&amp;"-"&amp;TEXT(C16,"DD/MMM/YYYY")</f>
        <v>01/Apr/2018-30/Jun/2018</v>
      </c>
      <c r="F16" s="1187" t="s">
        <v>1169</v>
      </c>
    </row>
    <row r="17" spans="1:6" x14ac:dyDescent="0.2">
      <c r="A17" s="1188" t="s">
        <v>1170</v>
      </c>
      <c r="B17" s="1323">
        <v>43282</v>
      </c>
      <c r="C17" s="1323">
        <v>43373</v>
      </c>
      <c r="D17" s="1187">
        <f>D16+1</f>
        <v>3</v>
      </c>
      <c r="E17" s="1187" t="str">
        <f>TEXT(B17,"DD/MMM/YYYY")&amp;"-"&amp;TEXT(C17,"DD/MMM/YYYY")</f>
        <v>01/Jul/2018-30/Sep/2018</v>
      </c>
      <c r="F17" s="1187" t="s">
        <v>1171</v>
      </c>
    </row>
    <row r="18" spans="1:6" x14ac:dyDescent="0.2">
      <c r="A18" s="1188" t="s">
        <v>1172</v>
      </c>
      <c r="B18" s="1323">
        <v>43374</v>
      </c>
      <c r="C18" s="1323">
        <v>43465</v>
      </c>
      <c r="D18" s="1187">
        <f>D17+1</f>
        <v>4</v>
      </c>
      <c r="E18" s="1187" t="str">
        <f>TEXT(B18,"DD/MMM/YYYY")&amp;"-"&amp;TEXT(C18,"DD/MMM/YYYY")</f>
        <v>01/Oct/2018-31/Dec/2018</v>
      </c>
      <c r="F18" s="1187" t="s">
        <v>1173</v>
      </c>
    </row>
    <row r="21" spans="1:6" x14ac:dyDescent="0.2">
      <c r="A21" s="771" t="s">
        <v>525</v>
      </c>
    </row>
    <row r="22" spans="1:6" x14ac:dyDescent="0.2">
      <c r="A22" s="1187" t="s">
        <v>504</v>
      </c>
      <c r="B22" s="1187" t="s">
        <v>500</v>
      </c>
      <c r="C22" s="1187" t="s">
        <v>502</v>
      </c>
      <c r="D22" s="1187">
        <v>-1</v>
      </c>
      <c r="E22" s="1187"/>
      <c r="F22" s="1187" t="s">
        <v>356</v>
      </c>
    </row>
    <row r="23" spans="1:6" hidden="1" x14ac:dyDescent="0.2">
      <c r="A23" s="1188" t="s">
        <v>503</v>
      </c>
      <c r="B23" s="1323" t="s">
        <v>499</v>
      </c>
      <c r="C23" s="1323" t="s">
        <v>501</v>
      </c>
      <c r="D23" s="1187">
        <f>D22+1</f>
        <v>0</v>
      </c>
      <c r="E23" s="1187" t="str">
        <f>TEXT(B23,"DD/MMM/YYYY")&amp;"-"&amp;TEXT(C23,"DD/MMM/YYYY")</f>
        <v>[Start Date]-[End date]</v>
      </c>
      <c r="F23" s="1187" t="s">
        <v>355</v>
      </c>
    </row>
    <row r="24" spans="1:6" x14ac:dyDescent="0.2">
      <c r="A24" s="1188" t="s">
        <v>1174</v>
      </c>
      <c r="B24" s="1323">
        <v>43466</v>
      </c>
      <c r="C24" s="1323">
        <v>43555</v>
      </c>
      <c r="D24" s="1187">
        <f>D23+1</f>
        <v>1</v>
      </c>
      <c r="E24" s="1187" t="str">
        <f>TEXT(B24,"DD/MMM/YYYY")&amp;"-"&amp;TEXT(C24,"DD/MMM/YYYY")</f>
        <v>01/Jan/2019-31/Mar/2019</v>
      </c>
      <c r="F24" s="1187" t="s">
        <v>1175</v>
      </c>
    </row>
    <row r="25" spans="1:6" x14ac:dyDescent="0.2">
      <c r="A25" s="1188" t="s">
        <v>1176</v>
      </c>
      <c r="B25" s="1323">
        <v>43556</v>
      </c>
      <c r="C25" s="1323">
        <v>43646</v>
      </c>
      <c r="D25" s="1187">
        <f>D24+1</f>
        <v>2</v>
      </c>
      <c r="E25" s="1187" t="str">
        <f>TEXT(B25,"DD/MMM/YYYY")&amp;"-"&amp;TEXT(C25,"DD/MMM/YYYY")</f>
        <v>01/Apr/2019-30/Jun/2019</v>
      </c>
      <c r="F25" s="1187" t="s">
        <v>1177</v>
      </c>
    </row>
  </sheetData>
  <dataValidations count="2">
    <dataValidation type="date" allowBlank="1" showInputMessage="1" showErrorMessage="1" errorTitle="X-Author for Excel" error="Please enter a valid date." promptTitle="X-Author for Excel" sqref="B14:C18 B5:B8 B23:C25">
      <formula1>36526</formula1>
      <formula2>36891</formula2>
    </dataValidation>
    <dataValidation type="custom" allowBlank="1" showInputMessage="1" showErrorMessage="1" errorTitle="X-Author for Excel" error="Id and Lookup fields are not editable." promptTitle="X-Author for Excel" sqref="F14:F18 F23:F25">
      <formula1>""</formula1>
    </dataValidation>
  </dataValidation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55"/>
  <sheetViews>
    <sheetView workbookViewId="0">
      <selection activeCell="D18" sqref="D18"/>
    </sheetView>
  </sheetViews>
  <sheetFormatPr defaultColWidth="8.85546875" defaultRowHeight="12.75" x14ac:dyDescent="0.2"/>
  <cols>
    <col min="1" max="1" width="29.140625" style="365" bestFit="1" customWidth="1"/>
    <col min="2" max="2" width="30.5703125" style="365" bestFit="1" customWidth="1"/>
    <col min="3" max="3" width="27.140625" style="365" bestFit="1" customWidth="1"/>
    <col min="4" max="4" width="36.140625" style="365" bestFit="1" customWidth="1"/>
    <col min="5" max="16384" width="8.85546875" style="365"/>
  </cols>
  <sheetData>
    <row r="1" spans="1:4" x14ac:dyDescent="0.2">
      <c r="A1" s="365" t="s">
        <v>527</v>
      </c>
      <c r="B1" s="365" t="b">
        <v>1</v>
      </c>
      <c r="C1" s="365" t="s">
        <v>285</v>
      </c>
      <c r="D1" s="1172" t="s">
        <v>958</v>
      </c>
    </row>
    <row r="2" spans="1:4" x14ac:dyDescent="0.2">
      <c r="A2" s="365" t="s">
        <v>274</v>
      </c>
      <c r="B2" s="365" t="b">
        <v>1</v>
      </c>
      <c r="C2" s="365" t="s">
        <v>286</v>
      </c>
      <c r="D2" s="1173">
        <v>43100</v>
      </c>
    </row>
    <row r="3" spans="1:4" x14ac:dyDescent="0.2">
      <c r="A3" s="365" t="s">
        <v>275</v>
      </c>
      <c r="B3" s="365" t="b">
        <v>0</v>
      </c>
      <c r="C3" s="365" t="s">
        <v>284</v>
      </c>
      <c r="D3" s="1171">
        <v>4</v>
      </c>
    </row>
    <row r="4" spans="1:4" x14ac:dyDescent="0.2">
      <c r="A4" s="1187" t="s">
        <v>277</v>
      </c>
      <c r="B4" s="1187" t="s">
        <v>281</v>
      </c>
      <c r="C4" s="1187" t="s">
        <v>279</v>
      </c>
      <c r="D4" s="1187" t="s">
        <v>283</v>
      </c>
    </row>
    <row r="5" spans="1:4" hidden="1" x14ac:dyDescent="0.2">
      <c r="A5" s="1188" t="s">
        <v>276</v>
      </c>
      <c r="B5" s="1187" t="s">
        <v>280</v>
      </c>
      <c r="C5" s="1187" t="s">
        <v>278</v>
      </c>
      <c r="D5" s="1187" t="s">
        <v>282</v>
      </c>
    </row>
    <row r="6" spans="1:4" x14ac:dyDescent="0.2">
      <c r="A6" s="1188" t="s">
        <v>945</v>
      </c>
      <c r="B6" s="1187" t="b">
        <v>0</v>
      </c>
      <c r="C6" s="1187" t="b">
        <v>1</v>
      </c>
      <c r="D6" s="1187" t="b">
        <v>1</v>
      </c>
    </row>
    <row r="7" spans="1:4" x14ac:dyDescent="0.2">
      <c r="A7" s="1188" t="s">
        <v>955</v>
      </c>
      <c r="B7" s="1187" t="b">
        <v>0</v>
      </c>
      <c r="C7" s="1187" t="b">
        <v>1</v>
      </c>
      <c r="D7" s="1187" t="b">
        <v>1</v>
      </c>
    </row>
    <row r="8" spans="1:4" x14ac:dyDescent="0.2">
      <c r="A8" s="1188" t="s">
        <v>950</v>
      </c>
      <c r="B8" s="1187" t="b">
        <v>0</v>
      </c>
      <c r="C8" s="1187" t="b">
        <v>1</v>
      </c>
      <c r="D8" s="1187" t="b">
        <v>0</v>
      </c>
    </row>
    <row r="9" spans="1:4" x14ac:dyDescent="0.2">
      <c r="A9" s="1188" t="s">
        <v>919</v>
      </c>
      <c r="B9" s="1187" t="b">
        <v>0</v>
      </c>
      <c r="C9" s="1187" t="b">
        <v>1</v>
      </c>
      <c r="D9" s="1187" t="b">
        <v>1</v>
      </c>
    </row>
    <row r="10" spans="1:4" x14ac:dyDescent="0.2">
      <c r="A10" s="1188" t="s">
        <v>959</v>
      </c>
      <c r="B10" s="1187" t="b">
        <v>0</v>
      </c>
      <c r="C10" s="1187" t="b">
        <v>1</v>
      </c>
      <c r="D10" s="1187" t="b">
        <v>1</v>
      </c>
    </row>
    <row r="11" spans="1:4" x14ac:dyDescent="0.2">
      <c r="A11" s="1188" t="s">
        <v>943</v>
      </c>
      <c r="B11" s="1187" t="b">
        <v>0</v>
      </c>
      <c r="C11" s="1187" t="b">
        <v>1</v>
      </c>
      <c r="D11" s="1187" t="b">
        <v>1</v>
      </c>
    </row>
    <row r="12" spans="1:4" x14ac:dyDescent="0.2">
      <c r="A12" s="1188" t="s">
        <v>944</v>
      </c>
      <c r="B12" s="1187" t="b">
        <v>0</v>
      </c>
      <c r="C12" s="1187" t="b">
        <v>1</v>
      </c>
      <c r="D12" s="1187" t="b">
        <v>1</v>
      </c>
    </row>
    <row r="13" spans="1:4" x14ac:dyDescent="0.2">
      <c r="A13" s="1188" t="s">
        <v>921</v>
      </c>
      <c r="B13" s="1187" t="b">
        <v>0</v>
      </c>
      <c r="C13" s="1187" t="b">
        <v>1</v>
      </c>
      <c r="D13" s="1187" t="b">
        <v>0</v>
      </c>
    </row>
    <row r="14" spans="1:4" x14ac:dyDescent="0.2">
      <c r="A14" s="1188" t="s">
        <v>916</v>
      </c>
      <c r="B14" s="1187" t="b">
        <v>0</v>
      </c>
      <c r="C14" s="1187" t="b">
        <v>1</v>
      </c>
      <c r="D14" s="1187" t="b">
        <v>1</v>
      </c>
    </row>
    <row r="15" spans="1:4" x14ac:dyDescent="0.2">
      <c r="A15" s="1188" t="s">
        <v>951</v>
      </c>
      <c r="B15" s="1187" t="b">
        <v>0</v>
      </c>
      <c r="C15" s="1187" t="b">
        <v>1</v>
      </c>
      <c r="D15" s="1187" t="b">
        <v>1</v>
      </c>
    </row>
    <row r="16" spans="1:4" x14ac:dyDescent="0.2">
      <c r="A16" s="1188" t="s">
        <v>920</v>
      </c>
      <c r="B16" s="1187" t="b">
        <v>0</v>
      </c>
      <c r="C16" s="1187" t="b">
        <v>1</v>
      </c>
      <c r="D16" s="1187" t="b">
        <v>1</v>
      </c>
    </row>
    <row r="17" spans="1:4" x14ac:dyDescent="0.2">
      <c r="A17" s="1188" t="s">
        <v>917</v>
      </c>
      <c r="B17" s="1187" t="b">
        <v>0</v>
      </c>
      <c r="C17" s="1187" t="b">
        <v>1</v>
      </c>
      <c r="D17" s="1187" t="b">
        <v>1</v>
      </c>
    </row>
    <row r="18" spans="1:4" x14ac:dyDescent="0.2">
      <c r="A18" s="1188" t="s">
        <v>952</v>
      </c>
      <c r="B18" s="1187" t="b">
        <v>0</v>
      </c>
      <c r="C18" s="1187" t="b">
        <v>1</v>
      </c>
      <c r="D18" s="1187" t="b">
        <v>1</v>
      </c>
    </row>
    <row r="19" spans="1:4" x14ac:dyDescent="0.2">
      <c r="A19" s="1188" t="s">
        <v>960</v>
      </c>
      <c r="B19" s="1187" t="b">
        <v>0</v>
      </c>
      <c r="C19" s="1187" t="b">
        <v>1</v>
      </c>
      <c r="D19" s="1187" t="b">
        <v>1</v>
      </c>
    </row>
    <row r="20" spans="1:4" x14ac:dyDescent="0.2">
      <c r="A20" s="1188" t="s">
        <v>949</v>
      </c>
      <c r="B20" s="1187" t="b">
        <v>0</v>
      </c>
      <c r="C20" s="1187" t="b">
        <v>0</v>
      </c>
      <c r="D20" s="1187" t="b">
        <v>0</v>
      </c>
    </row>
    <row r="21" spans="1:4" x14ac:dyDescent="0.2">
      <c r="A21" s="1188" t="s">
        <v>918</v>
      </c>
      <c r="B21" s="1187" t="b">
        <v>0</v>
      </c>
      <c r="C21" s="1187" t="b">
        <v>1</v>
      </c>
      <c r="D21" s="1187" t="b">
        <v>1</v>
      </c>
    </row>
    <row r="22" spans="1:4" x14ac:dyDescent="0.2">
      <c r="A22" s="1188" t="s">
        <v>948</v>
      </c>
      <c r="B22" s="1187" t="b">
        <v>0</v>
      </c>
      <c r="C22" s="1187" t="b">
        <v>1</v>
      </c>
      <c r="D22" s="1187" t="b">
        <v>1</v>
      </c>
    </row>
    <row r="23" spans="1:4" x14ac:dyDescent="0.2">
      <c r="A23" s="1188" t="s">
        <v>961</v>
      </c>
      <c r="B23" s="1187" t="b">
        <v>0</v>
      </c>
      <c r="C23" s="1187" t="b">
        <v>1</v>
      </c>
      <c r="D23" s="1187" t="b">
        <v>1</v>
      </c>
    </row>
    <row r="24" spans="1:4" x14ac:dyDescent="0.2">
      <c r="A24" s="1188" t="s">
        <v>915</v>
      </c>
      <c r="B24" s="1187" t="b">
        <v>0</v>
      </c>
      <c r="C24" s="1187" t="b">
        <v>1</v>
      </c>
      <c r="D24" s="1187" t="b">
        <v>1</v>
      </c>
    </row>
    <row r="25" spans="1:4" x14ac:dyDescent="0.2">
      <c r="A25" s="1188" t="s">
        <v>962</v>
      </c>
      <c r="B25" s="1187" t="b">
        <v>0</v>
      </c>
      <c r="C25" s="1187" t="b">
        <v>1</v>
      </c>
      <c r="D25" s="1187" t="b">
        <v>1</v>
      </c>
    </row>
    <row r="35" spans="1:2" x14ac:dyDescent="0.2">
      <c r="A35" s="365" t="s">
        <v>399</v>
      </c>
    </row>
    <row r="36" spans="1:2" x14ac:dyDescent="0.2">
      <c r="A36" s="365" t="s">
        <v>383</v>
      </c>
    </row>
    <row r="37" spans="1:2" x14ac:dyDescent="0.2">
      <c r="A37" s="365" t="s">
        <v>381</v>
      </c>
      <c r="B37" s="365" t="s">
        <v>967</v>
      </c>
    </row>
    <row r="40" spans="1:2" x14ac:dyDescent="0.2">
      <c r="A40" s="365" t="s">
        <v>382</v>
      </c>
    </row>
    <row r="41" spans="1:2" x14ac:dyDescent="0.2">
      <c r="A41" s="365" t="s">
        <v>356</v>
      </c>
      <c r="B41" s="365" t="s">
        <v>966</v>
      </c>
    </row>
    <row r="44" spans="1:2" x14ac:dyDescent="0.2">
      <c r="A44" s="365" t="s">
        <v>490</v>
      </c>
      <c r="B44" s="365" t="s">
        <v>957</v>
      </c>
    </row>
    <row r="50" spans="1:2" x14ac:dyDescent="0.2">
      <c r="A50" s="365" t="s">
        <v>593</v>
      </c>
    </row>
    <row r="51" spans="1:2" x14ac:dyDescent="0.2">
      <c r="A51" s="365" t="s">
        <v>554</v>
      </c>
      <c r="B51" s="1173">
        <v>42736</v>
      </c>
    </row>
    <row r="52" spans="1:2" x14ac:dyDescent="0.2">
      <c r="A52" s="365" t="s">
        <v>286</v>
      </c>
      <c r="B52" s="1173">
        <v>43100</v>
      </c>
    </row>
    <row r="55" spans="1:2" x14ac:dyDescent="0.2">
      <c r="A55" s="365" t="s">
        <v>592</v>
      </c>
      <c r="B55" s="365" t="str">
        <f ca="1">CONCATENATE(CoverSheet!D7,"_Progress Report_Imported_",TEXT(TODAY(),"dd-mmm-yy"))</f>
        <v>GEO-T-NCDC_Progress Report_Imported_18-May-18</v>
      </c>
    </row>
  </sheetData>
  <dataValidations count="5">
    <dataValidation type="custom" allowBlank="1" showInputMessage="1" showErrorMessage="1" errorTitle="X-Author for Excel" error="Id and Lookup fields are not editable." promptTitle="X-Author for Excel" sqref="B41 B44 B37">
      <formula1>""</formula1>
    </dataValidation>
    <dataValidation type="list" allowBlank="1" showInputMessage="1" showErrorMessage="1" errorTitle="X-Author for Excel" error="Please select either TRUE or FALSE from the dropdown." promptTitle="X-Author for Excel" sqref="B5:D25 B1:B3">
      <formula1>"TRUE,FALSE"</formula1>
    </dataValidation>
    <dataValidation type="decimal" allowBlank="1" showInputMessage="1" showErrorMessage="1" errorTitle="X-Author for Excel" error="Please enter a valid numeric value. Valid range for Version is -9999999999 to 9999999999." promptTitle="X-Author for Excel" sqref="D3">
      <formula1>-9999999999</formula1>
      <formula2>9999999999</formula2>
    </dataValidation>
    <dataValidation type="date" allowBlank="1" showInputMessage="1" showErrorMessage="1" errorTitle="X-Author for Excel" error="Please enter a valid date." promptTitle="X-Author for Excel" sqref="D2 B51:B52">
      <formula1>36526</formula1>
      <formula2>36891</formula2>
    </dataValidation>
    <dataValidation type="list" allowBlank="1" showInputMessage="1" showErrorMessage="1" errorTitle="X-Author for Excel" error="Please select a value from the drop-down." promptTitle="X-Author for Excel" sqref="A5:A25">
      <formula1>IF(IFERROR(ROWS(INDIRECT(SUBSTITUTE("AIM_Opt_Ins__c.AIM_Tab_Name__c"," ","_"))),-1) &lt; 0, XAuthorInvalidPicklistData,INDIRECT(SUBSTITUTE("AIM_Opt_Ins__c.AIM_Tab_Name__c"," ","_")))</formula1>
    </dataValidation>
  </dataValidation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3FAF01"/>
  </sheetPr>
  <dimension ref="A1:U139"/>
  <sheetViews>
    <sheetView showGridLines="0" view="pageBreakPreview" zoomScale="60" zoomScaleNormal="55" workbookViewId="0">
      <selection activeCell="H15" sqref="H15"/>
    </sheetView>
  </sheetViews>
  <sheetFormatPr defaultColWidth="8.85546875" defaultRowHeight="14.25" x14ac:dyDescent="0.2"/>
  <cols>
    <col min="1" max="1" width="57.85546875" style="743" customWidth="1"/>
    <col min="2" max="2" width="53.5703125" style="743" customWidth="1"/>
    <col min="3" max="7" width="19" style="743" customWidth="1"/>
    <col min="8" max="8" width="63.85546875" style="743" customWidth="1"/>
    <col min="9" max="9" width="14.85546875" style="741" customWidth="1"/>
    <col min="10" max="11" width="19.85546875" style="741" customWidth="1"/>
    <col min="12" max="12" width="14.85546875" style="741" hidden="1" customWidth="1"/>
    <col min="13" max="13" width="25.42578125" style="742" customWidth="1"/>
    <col min="14" max="14" width="65.42578125" style="742" customWidth="1"/>
    <col min="15" max="15" width="8.85546875" style="745" hidden="1" customWidth="1"/>
    <col min="16" max="16" width="8.85546875" style="985" hidden="1" customWidth="1"/>
    <col min="17" max="19" width="8.85546875" style="745" hidden="1" customWidth="1"/>
    <col min="20" max="21" width="0" style="745" hidden="1" customWidth="1"/>
    <col min="22" max="16384" width="8.85546875" style="745"/>
  </cols>
  <sheetData>
    <row r="1" spans="1:21" s="742" customFormat="1" ht="27" x14ac:dyDescent="0.35">
      <c r="A1" s="1706" t="str">
        <f>IF(CoverSheet!J12="N/A","Progress Report","Progress Report with Disbursement Request")</f>
        <v>Progress Report with Disbursement Request</v>
      </c>
      <c r="B1" s="1706"/>
      <c r="C1" s="1706"/>
      <c r="D1" s="1706"/>
      <c r="E1" s="1706"/>
      <c r="F1" s="1706"/>
      <c r="G1" s="1706"/>
      <c r="H1" s="1706"/>
      <c r="I1" s="1706"/>
      <c r="J1" s="741"/>
      <c r="K1" s="741"/>
      <c r="L1" s="741"/>
      <c r="P1" s="985"/>
    </row>
    <row r="2" spans="1:21" s="742" customFormat="1" ht="15" thickBot="1" x14ac:dyDescent="0.25">
      <c r="A2" s="743"/>
      <c r="B2" s="743"/>
      <c r="C2" s="743"/>
      <c r="D2" s="743"/>
      <c r="E2" s="743"/>
      <c r="F2" s="743"/>
      <c r="G2" s="743"/>
      <c r="H2" s="743"/>
      <c r="I2" s="741"/>
      <c r="J2" s="741"/>
      <c r="K2" s="741"/>
      <c r="L2" s="741"/>
      <c r="P2" s="985"/>
    </row>
    <row r="3" spans="1:21" s="744" customFormat="1" ht="27" customHeight="1" thickBot="1" x14ac:dyDescent="0.25">
      <c r="A3" s="859" t="s">
        <v>419</v>
      </c>
      <c r="B3" s="852"/>
      <c r="C3" s="1709" t="str">
        <f>CoverSheet!F12</f>
        <v>Disbursement Request Execution Period</v>
      </c>
      <c r="D3" s="1710"/>
      <c r="E3" s="1710"/>
      <c r="F3" s="1710"/>
      <c r="G3" s="865">
        <f>IF(CoverSheet!J12="","N/A",CoverSheet!J12)</f>
        <v>43101</v>
      </c>
      <c r="H3" s="866" t="str">
        <f>IF(CoverSheet!K12="","N/A",CoverSheet!K12)</f>
        <v>End Date:</v>
      </c>
      <c r="I3" s="867"/>
      <c r="J3" s="868">
        <f>IF(CoverSheet!L12="","N/A",CoverSheet!L12)</f>
        <v>43465</v>
      </c>
      <c r="K3" s="869"/>
      <c r="L3" s="869"/>
      <c r="M3" s="870"/>
      <c r="N3" s="871"/>
      <c r="P3" s="986"/>
    </row>
    <row r="4" spans="1:21" s="744" customFormat="1" ht="29.25" customHeight="1" thickBot="1" x14ac:dyDescent="0.25">
      <c r="A4" s="876"/>
      <c r="B4" s="877"/>
      <c r="C4" s="1711" t="str">
        <f>CoverSheet!F13</f>
        <v>Disbursement Request Buffer Period</v>
      </c>
      <c r="D4" s="1712"/>
      <c r="E4" s="1712"/>
      <c r="F4" s="1712"/>
      <c r="G4" s="872">
        <f>IF(CoverSheet!J13="","N/A",CoverSheet!J13)</f>
        <v>43466</v>
      </c>
      <c r="H4" s="873" t="str">
        <f>IF(CoverSheet!K13="","N/A",CoverSheet!K13)</f>
        <v>End Date:</v>
      </c>
      <c r="I4" s="874"/>
      <c r="J4" s="872">
        <f>IF(CoverSheet!L13="","N/A",CoverSheet!L13)</f>
        <v>43646</v>
      </c>
      <c r="K4" s="1703" t="s">
        <v>543</v>
      </c>
      <c r="L4" s="1704"/>
      <c r="M4" s="1705"/>
      <c r="N4" s="875" t="s">
        <v>46</v>
      </c>
      <c r="P4" s="986"/>
    </row>
    <row r="5" spans="1:21" s="742" customFormat="1" x14ac:dyDescent="0.2">
      <c r="A5" s="743"/>
      <c r="B5" s="743"/>
      <c r="C5" s="743"/>
      <c r="D5" s="743"/>
      <c r="E5" s="743"/>
      <c r="F5" s="743"/>
      <c r="G5" s="743"/>
      <c r="H5" s="743"/>
      <c r="I5" s="741"/>
      <c r="J5" s="741"/>
      <c r="K5" s="741"/>
      <c r="L5" s="741"/>
      <c r="P5" s="985"/>
    </row>
    <row r="6" spans="1:21" ht="24.75" customHeight="1" x14ac:dyDescent="0.2">
      <c r="A6" s="113" t="s">
        <v>186</v>
      </c>
      <c r="B6" s="113"/>
      <c r="C6" s="110"/>
      <c r="D6" s="110"/>
      <c r="E6" s="110"/>
      <c r="F6" s="111"/>
      <c r="G6" s="112"/>
      <c r="H6" s="112"/>
      <c r="I6" s="148"/>
      <c r="J6" s="112"/>
      <c r="K6" s="112"/>
      <c r="L6" s="112"/>
      <c r="M6" s="112"/>
      <c r="N6" s="112"/>
      <c r="P6" s="987"/>
      <c r="Q6" s="746"/>
    </row>
    <row r="7" spans="1:21" s="746" customFormat="1" ht="0.75" customHeight="1" thickBot="1" x14ac:dyDescent="0.25">
      <c r="A7" s="743"/>
      <c r="B7" s="743"/>
      <c r="C7" s="747"/>
      <c r="D7" s="748"/>
      <c r="E7" s="748"/>
      <c r="F7" s="749"/>
      <c r="G7" s="748"/>
      <c r="H7" s="748"/>
      <c r="I7" s="741"/>
      <c r="J7" s="741"/>
      <c r="K7" s="741"/>
      <c r="L7" s="741"/>
      <c r="M7" s="750"/>
      <c r="N7" s="750"/>
      <c r="P7" s="985"/>
      <c r="Q7" s="745"/>
    </row>
    <row r="8" spans="1:21" s="746" customFormat="1" ht="106.5" customHeight="1" x14ac:dyDescent="0.2">
      <c r="A8" s="1259" t="s">
        <v>87</v>
      </c>
      <c r="B8" s="1283"/>
      <c r="C8" s="521" t="s">
        <v>185</v>
      </c>
      <c r="D8" s="521" t="s">
        <v>420</v>
      </c>
      <c r="E8" s="521" t="s">
        <v>139</v>
      </c>
      <c r="F8" s="521" t="s">
        <v>421</v>
      </c>
      <c r="G8" s="521" t="s">
        <v>150</v>
      </c>
      <c r="H8" s="521" t="s">
        <v>27</v>
      </c>
      <c r="I8" s="1284"/>
      <c r="J8" s="1285" t="s">
        <v>422</v>
      </c>
      <c r="K8" s="1285" t="s">
        <v>423</v>
      </c>
      <c r="L8" s="1285"/>
      <c r="M8" s="1285" t="s">
        <v>151</v>
      </c>
      <c r="N8" s="1285" t="s">
        <v>27</v>
      </c>
      <c r="O8" s="1286"/>
      <c r="P8" s="1287" t="s">
        <v>356</v>
      </c>
      <c r="Q8" s="1288" t="s">
        <v>556</v>
      </c>
      <c r="R8" s="997"/>
      <c r="S8" s="997"/>
      <c r="T8" s="997"/>
      <c r="U8" s="997"/>
    </row>
    <row r="9" spans="1:21" ht="16.5" hidden="1" customHeight="1" x14ac:dyDescent="0.2">
      <c r="A9" s="1289" t="s">
        <v>544</v>
      </c>
      <c r="B9" s="1290"/>
      <c r="C9" s="1291" t="s">
        <v>491</v>
      </c>
      <c r="D9" s="1292" t="s">
        <v>492</v>
      </c>
      <c r="E9" s="1291" t="s">
        <v>493</v>
      </c>
      <c r="F9" s="1292" t="s">
        <v>494</v>
      </c>
      <c r="G9" s="1293" t="str">
        <f>IFERROR(D9+F9,"")</f>
        <v/>
      </c>
      <c r="H9" s="1294" t="s">
        <v>495</v>
      </c>
      <c r="I9" s="1295"/>
      <c r="J9" s="1292" t="s">
        <v>496</v>
      </c>
      <c r="K9" s="1296" t="s">
        <v>497</v>
      </c>
      <c r="L9" s="1296"/>
      <c r="M9" s="1293" t="str">
        <f>IFERROR(J9+K9,"")</f>
        <v/>
      </c>
      <c r="N9" s="1297" t="s">
        <v>498</v>
      </c>
      <c r="O9" s="1298"/>
      <c r="P9" s="1287" t="s">
        <v>355</v>
      </c>
      <c r="Q9" s="1299" t="s">
        <v>555</v>
      </c>
      <c r="R9" s="998"/>
      <c r="S9" s="998"/>
      <c r="T9" s="998"/>
      <c r="U9" s="998"/>
    </row>
    <row r="10" spans="1:21" ht="16.5" customHeight="1" x14ac:dyDescent="0.2">
      <c r="A10" s="1289" t="s">
        <v>1039</v>
      </c>
      <c r="B10" s="1290"/>
      <c r="C10" s="1291">
        <v>507047.560489</v>
      </c>
      <c r="D10" s="1292">
        <v>592411.85161989252</v>
      </c>
      <c r="E10" s="1291">
        <v>225266.063448</v>
      </c>
      <c r="F10" s="1292">
        <v>112633.03172778044</v>
      </c>
      <c r="G10" s="1293">
        <f t="shared" ref="G10:G22" si="0">IFERROR(D10+F10,"")</f>
        <v>705044.88334767299</v>
      </c>
      <c r="H10" s="1294"/>
      <c r="I10" s="1295"/>
      <c r="J10" s="1292"/>
      <c r="K10" s="1296"/>
      <c r="L10" s="1296"/>
      <c r="M10" s="1293">
        <f t="shared" ref="M10:M22" si="1">IFERROR(J10+K10,"")</f>
        <v>0</v>
      </c>
      <c r="N10" s="1297"/>
      <c r="O10" s="1298"/>
      <c r="P10" s="1287" t="s">
        <v>1133</v>
      </c>
      <c r="Q10" s="1299">
        <v>1</v>
      </c>
      <c r="R10" s="998"/>
      <c r="S10" s="998"/>
      <c r="T10" s="998"/>
      <c r="U10" s="998"/>
    </row>
    <row r="11" spans="1:21" ht="16.5" customHeight="1" x14ac:dyDescent="0.2">
      <c r="A11" s="1289" t="s">
        <v>1041</v>
      </c>
      <c r="B11" s="1290"/>
      <c r="C11" s="1291">
        <v>529469.28435860004</v>
      </c>
      <c r="D11" s="1292">
        <v>708673.38763368235</v>
      </c>
      <c r="E11" s="1291">
        <v>239096.97388780001</v>
      </c>
      <c r="F11" s="1292">
        <v>105277.50119052775</v>
      </c>
      <c r="G11" s="1293">
        <f t="shared" si="0"/>
        <v>813950.88882421004</v>
      </c>
      <c r="H11" s="1294"/>
      <c r="I11" s="1295"/>
      <c r="J11" s="1292"/>
      <c r="K11" s="1296"/>
      <c r="L11" s="1296"/>
      <c r="M11" s="1293">
        <f t="shared" si="1"/>
        <v>0</v>
      </c>
      <c r="N11" s="1297"/>
      <c r="O11" s="1298"/>
      <c r="P11" s="1287" t="s">
        <v>1134</v>
      </c>
      <c r="Q11" s="1299">
        <v>2</v>
      </c>
      <c r="R11" s="998"/>
      <c r="S11" s="998"/>
      <c r="T11" s="998"/>
      <c r="U11" s="998"/>
    </row>
    <row r="12" spans="1:21" ht="16.5" customHeight="1" x14ac:dyDescent="0.2">
      <c r="A12" s="1289" t="s">
        <v>1043</v>
      </c>
      <c r="B12" s="1290"/>
      <c r="C12" s="1291">
        <v>832747.37478199997</v>
      </c>
      <c r="D12" s="1292">
        <v>959705.66626951494</v>
      </c>
      <c r="E12" s="1291">
        <v>219091.14723639999</v>
      </c>
      <c r="F12" s="1292">
        <v>111557.99839819905</v>
      </c>
      <c r="G12" s="1293">
        <f t="shared" si="0"/>
        <v>1071263.6646677139</v>
      </c>
      <c r="H12" s="1294"/>
      <c r="I12" s="1295"/>
      <c r="J12" s="1292"/>
      <c r="K12" s="1296"/>
      <c r="L12" s="1296"/>
      <c r="M12" s="1293">
        <f t="shared" si="1"/>
        <v>0</v>
      </c>
      <c r="N12" s="1297"/>
      <c r="O12" s="1298"/>
      <c r="P12" s="1287" t="s">
        <v>1135</v>
      </c>
      <c r="Q12" s="1299">
        <v>3</v>
      </c>
      <c r="R12" s="998"/>
      <c r="S12" s="998"/>
      <c r="T12" s="998"/>
      <c r="U12" s="998"/>
    </row>
    <row r="13" spans="1:21" ht="16.5" customHeight="1" x14ac:dyDescent="0.2">
      <c r="A13" s="1289" t="s">
        <v>1045</v>
      </c>
      <c r="B13" s="1290"/>
      <c r="C13" s="1291">
        <v>536991.98789999995</v>
      </c>
      <c r="D13" s="1292">
        <v>286991.98794943991</v>
      </c>
      <c r="E13" s="1291">
        <v>0</v>
      </c>
      <c r="F13" s="1292">
        <v>0</v>
      </c>
      <c r="G13" s="1293">
        <f t="shared" si="0"/>
        <v>286991.98794943991</v>
      </c>
      <c r="H13" s="1294"/>
      <c r="I13" s="1295"/>
      <c r="J13" s="1292"/>
      <c r="K13" s="1296"/>
      <c r="L13" s="1296"/>
      <c r="M13" s="1293">
        <f t="shared" si="1"/>
        <v>0</v>
      </c>
      <c r="N13" s="1297"/>
      <c r="O13" s="1298"/>
      <c r="P13" s="1287" t="s">
        <v>1136</v>
      </c>
      <c r="Q13" s="1299">
        <v>4</v>
      </c>
      <c r="R13" s="998"/>
      <c r="S13" s="998"/>
      <c r="T13" s="998"/>
      <c r="U13" s="998"/>
    </row>
    <row r="14" spans="1:21" ht="16.5" customHeight="1" x14ac:dyDescent="0.2">
      <c r="A14" s="1289" t="s">
        <v>1047</v>
      </c>
      <c r="B14" s="1290"/>
      <c r="C14" s="1291">
        <v>596382.09759999998</v>
      </c>
      <c r="D14" s="1292">
        <v>629039.37716715049</v>
      </c>
      <c r="E14" s="1291">
        <v>516104.67</v>
      </c>
      <c r="F14" s="1292">
        <v>0</v>
      </c>
      <c r="G14" s="1293">
        <f t="shared" si="0"/>
        <v>629039.37716715049</v>
      </c>
      <c r="H14" s="1294"/>
      <c r="I14" s="1295"/>
      <c r="J14" s="1292"/>
      <c r="K14" s="1296"/>
      <c r="L14" s="1296"/>
      <c r="M14" s="1293">
        <f t="shared" si="1"/>
        <v>0</v>
      </c>
      <c r="N14" s="1297"/>
      <c r="O14" s="1298"/>
      <c r="P14" s="1287" t="s">
        <v>1137</v>
      </c>
      <c r="Q14" s="1299">
        <v>5</v>
      </c>
      <c r="R14" s="998"/>
      <c r="S14" s="998"/>
      <c r="T14" s="998"/>
      <c r="U14" s="998"/>
    </row>
    <row r="15" spans="1:21" ht="16.5" customHeight="1" x14ac:dyDescent="0.2">
      <c r="A15" s="1289" t="s">
        <v>1049</v>
      </c>
      <c r="B15" s="1290"/>
      <c r="C15" s="1291">
        <v>266340</v>
      </c>
      <c r="D15" s="1292">
        <v>1073533.3042102649</v>
      </c>
      <c r="E15" s="1291">
        <v>88240</v>
      </c>
      <c r="F15" s="1292">
        <v>82240</v>
      </c>
      <c r="G15" s="1293">
        <f t="shared" si="0"/>
        <v>1155773.3042102649</v>
      </c>
      <c r="H15" s="1294"/>
      <c r="I15" s="1295"/>
      <c r="J15" s="1292"/>
      <c r="K15" s="1296"/>
      <c r="L15" s="1296"/>
      <c r="M15" s="1293">
        <f t="shared" si="1"/>
        <v>0</v>
      </c>
      <c r="N15" s="1297"/>
      <c r="O15" s="1298"/>
      <c r="P15" s="1287" t="s">
        <v>1138</v>
      </c>
      <c r="Q15" s="1299">
        <v>6</v>
      </c>
      <c r="R15" s="998"/>
      <c r="S15" s="998"/>
      <c r="T15" s="998"/>
      <c r="U15" s="998"/>
    </row>
    <row r="16" spans="1:21" ht="16.5" customHeight="1" x14ac:dyDescent="0.2">
      <c r="A16" s="1289" t="s">
        <v>1051</v>
      </c>
      <c r="B16" s="1290"/>
      <c r="C16" s="1291">
        <v>129969.37903</v>
      </c>
      <c r="D16" s="1292">
        <v>78611.733875924299</v>
      </c>
      <c r="E16" s="1291">
        <v>35917.332979999999</v>
      </c>
      <c r="F16" s="1292">
        <v>0</v>
      </c>
      <c r="G16" s="1293">
        <f t="shared" si="0"/>
        <v>78611.733875924299</v>
      </c>
      <c r="H16" s="1294"/>
      <c r="I16" s="1295"/>
      <c r="J16" s="1292"/>
      <c r="K16" s="1296"/>
      <c r="L16" s="1296"/>
      <c r="M16" s="1293">
        <f t="shared" si="1"/>
        <v>0</v>
      </c>
      <c r="N16" s="1297"/>
      <c r="O16" s="1298"/>
      <c r="P16" s="1287" t="s">
        <v>1139</v>
      </c>
      <c r="Q16" s="1299">
        <v>7</v>
      </c>
      <c r="R16" s="998"/>
      <c r="S16" s="998"/>
      <c r="T16" s="998"/>
      <c r="U16" s="998"/>
    </row>
    <row r="17" spans="1:21" ht="16.5" customHeight="1" x14ac:dyDescent="0.2">
      <c r="A17" s="1289" t="s">
        <v>1053</v>
      </c>
      <c r="B17" s="1290"/>
      <c r="C17" s="1291">
        <v>0</v>
      </c>
      <c r="D17" s="1292">
        <v>197560.51</v>
      </c>
      <c r="E17" s="1291">
        <v>2381.0554569999999</v>
      </c>
      <c r="F17" s="1292">
        <v>1731.6766959608642</v>
      </c>
      <c r="G17" s="1293">
        <f t="shared" si="0"/>
        <v>199292.18669596087</v>
      </c>
      <c r="H17" s="1294"/>
      <c r="I17" s="1295"/>
      <c r="J17" s="1292"/>
      <c r="K17" s="1296"/>
      <c r="L17" s="1296"/>
      <c r="M17" s="1293">
        <f t="shared" si="1"/>
        <v>0</v>
      </c>
      <c r="N17" s="1297"/>
      <c r="O17" s="1298"/>
      <c r="P17" s="1287" t="s">
        <v>1140</v>
      </c>
      <c r="Q17" s="1299">
        <v>8</v>
      </c>
      <c r="R17" s="998"/>
      <c r="S17" s="998"/>
      <c r="T17" s="998"/>
      <c r="U17" s="998"/>
    </row>
    <row r="18" spans="1:21" ht="16.5" customHeight="1" x14ac:dyDescent="0.2">
      <c r="A18" s="1289" t="s">
        <v>1055</v>
      </c>
      <c r="B18" s="1290"/>
      <c r="C18" s="1291">
        <v>33548.984803599997</v>
      </c>
      <c r="D18" s="1292">
        <v>109360.82865485297</v>
      </c>
      <c r="E18" s="1291">
        <v>21336.421490000001</v>
      </c>
      <c r="F18" s="1292">
        <v>15376.206762197498</v>
      </c>
      <c r="G18" s="1293">
        <f t="shared" si="0"/>
        <v>124737.03541705047</v>
      </c>
      <c r="H18" s="1294"/>
      <c r="I18" s="1295"/>
      <c r="J18" s="1292"/>
      <c r="K18" s="1296"/>
      <c r="L18" s="1296"/>
      <c r="M18" s="1293">
        <f t="shared" si="1"/>
        <v>0</v>
      </c>
      <c r="N18" s="1297"/>
      <c r="O18" s="1298"/>
      <c r="P18" s="1287" t="s">
        <v>1141</v>
      </c>
      <c r="Q18" s="1299">
        <v>9</v>
      </c>
      <c r="R18" s="998"/>
      <c r="S18" s="998"/>
      <c r="T18" s="998"/>
      <c r="U18" s="998"/>
    </row>
    <row r="19" spans="1:21" ht="16.5" customHeight="1" x14ac:dyDescent="0.2">
      <c r="A19" s="1289" t="s">
        <v>1057</v>
      </c>
      <c r="B19" s="1290"/>
      <c r="C19" s="1291">
        <v>3463.353392</v>
      </c>
      <c r="D19" s="1292">
        <v>3463.3533919217284</v>
      </c>
      <c r="E19" s="1291">
        <v>1731.676696</v>
      </c>
      <c r="F19" s="1292">
        <v>865.8383479804321</v>
      </c>
      <c r="G19" s="1293">
        <f t="shared" si="0"/>
        <v>4329.1917399021604</v>
      </c>
      <c r="H19" s="1294"/>
      <c r="I19" s="1295"/>
      <c r="J19" s="1292"/>
      <c r="K19" s="1296"/>
      <c r="L19" s="1296"/>
      <c r="M19" s="1293">
        <f t="shared" si="1"/>
        <v>0</v>
      </c>
      <c r="N19" s="1297"/>
      <c r="O19" s="1298"/>
      <c r="P19" s="1287" t="s">
        <v>1142</v>
      </c>
      <c r="Q19" s="1299">
        <v>10</v>
      </c>
      <c r="R19" s="998"/>
      <c r="S19" s="998"/>
      <c r="T19" s="998"/>
      <c r="U19" s="998"/>
    </row>
    <row r="20" spans="1:21" ht="16.5" customHeight="1" x14ac:dyDescent="0.2">
      <c r="A20" s="1289" t="s">
        <v>1059</v>
      </c>
      <c r="B20" s="1290"/>
      <c r="C20" s="1291">
        <v>14680.655439599999</v>
      </c>
      <c r="D20" s="1292">
        <v>17581.654976702182</v>
      </c>
      <c r="E20" s="1291">
        <v>8370.4922301999995</v>
      </c>
      <c r="F20" s="1292">
        <v>5743.7551409151911</v>
      </c>
      <c r="G20" s="1293">
        <f t="shared" si="0"/>
        <v>23325.410117617372</v>
      </c>
      <c r="H20" s="1294"/>
      <c r="I20" s="1295"/>
      <c r="J20" s="1292"/>
      <c r="K20" s="1296"/>
      <c r="L20" s="1296"/>
      <c r="M20" s="1293">
        <f t="shared" si="1"/>
        <v>0</v>
      </c>
      <c r="N20" s="1297"/>
      <c r="O20" s="1298"/>
      <c r="P20" s="1287" t="s">
        <v>1143</v>
      </c>
      <c r="Q20" s="1299">
        <v>11</v>
      </c>
      <c r="R20" s="998"/>
      <c r="S20" s="998"/>
      <c r="T20" s="998"/>
      <c r="U20" s="998"/>
    </row>
    <row r="21" spans="1:21" ht="16.5" customHeight="1" x14ac:dyDescent="0.2">
      <c r="A21" s="1289" t="s">
        <v>1061</v>
      </c>
      <c r="B21" s="1290"/>
      <c r="C21" s="1291">
        <v>361783.80452000001</v>
      </c>
      <c r="D21" s="1292">
        <v>208951.57704211553</v>
      </c>
      <c r="E21" s="1291">
        <v>160230.91907999999</v>
      </c>
      <c r="F21" s="1292">
        <v>80115.459543703197</v>
      </c>
      <c r="G21" s="1293">
        <f t="shared" si="0"/>
        <v>289067.03658581874</v>
      </c>
      <c r="H21" s="1294"/>
      <c r="I21" s="1295"/>
      <c r="J21" s="1292"/>
      <c r="K21" s="1296"/>
      <c r="L21" s="1296"/>
      <c r="M21" s="1293">
        <f t="shared" si="1"/>
        <v>0</v>
      </c>
      <c r="N21" s="1297"/>
      <c r="O21" s="1298"/>
      <c r="P21" s="1287" t="s">
        <v>1144</v>
      </c>
      <c r="Q21" s="1299">
        <v>12</v>
      </c>
      <c r="R21" s="998"/>
      <c r="S21" s="998"/>
      <c r="T21" s="998"/>
      <c r="U21" s="998"/>
    </row>
    <row r="22" spans="1:21" ht="16.5" customHeight="1" x14ac:dyDescent="0.2">
      <c r="A22" s="1289" t="s">
        <v>1063</v>
      </c>
      <c r="B22" s="1290"/>
      <c r="C22" s="1291">
        <v>0</v>
      </c>
      <c r="D22" s="1292">
        <v>0</v>
      </c>
      <c r="E22" s="1291">
        <v>0</v>
      </c>
      <c r="F22" s="1292">
        <v>0</v>
      </c>
      <c r="G22" s="1293">
        <f t="shared" si="0"/>
        <v>0</v>
      </c>
      <c r="H22" s="1294"/>
      <c r="I22" s="1295"/>
      <c r="J22" s="1292"/>
      <c r="K22" s="1296"/>
      <c r="L22" s="1296"/>
      <c r="M22" s="1293">
        <f t="shared" si="1"/>
        <v>0</v>
      </c>
      <c r="N22" s="1297"/>
      <c r="O22" s="1298"/>
      <c r="P22" s="1287" t="s">
        <v>1145</v>
      </c>
      <c r="Q22" s="1299">
        <v>13</v>
      </c>
      <c r="R22" s="998"/>
      <c r="S22" s="998"/>
      <c r="T22" s="998"/>
      <c r="U22" s="998"/>
    </row>
    <row r="23" spans="1:21" ht="12" hidden="1" customHeight="1" x14ac:dyDescent="0.2">
      <c r="A23" s="785"/>
      <c r="B23" s="786"/>
      <c r="C23" s="783"/>
      <c r="D23" s="783"/>
      <c r="E23" s="783"/>
      <c r="F23" s="783"/>
      <c r="G23" s="783"/>
      <c r="H23" s="930"/>
      <c r="J23" s="777"/>
      <c r="K23" s="777"/>
      <c r="L23" s="777"/>
      <c r="M23" s="777"/>
      <c r="N23" s="931"/>
      <c r="P23" s="996"/>
      <c r="Q23" s="998"/>
      <c r="R23" s="998"/>
      <c r="S23" s="998"/>
      <c r="T23" s="998"/>
      <c r="U23" s="998"/>
    </row>
    <row r="24" spans="1:21" ht="24.75" customHeight="1" x14ac:dyDescent="0.2">
      <c r="A24" s="787" t="s">
        <v>86</v>
      </c>
      <c r="B24" s="788"/>
      <c r="C24" s="779">
        <f>ROUND(SUM(C9:C23),2)</f>
        <v>3812424.48</v>
      </c>
      <c r="D24" s="779">
        <f>ROUND(SUM(D9:D23),2)</f>
        <v>4865885.2300000004</v>
      </c>
      <c r="E24" s="779">
        <f>ROUND(SUM(E9:E23),2)</f>
        <v>1517766.75</v>
      </c>
      <c r="F24" s="779">
        <f>ROUND(SUM(F9:F23),2)</f>
        <v>515541.47</v>
      </c>
      <c r="G24" s="779">
        <f>ROUND(SUM(G9:G23),2)</f>
        <v>5381426.7000000002</v>
      </c>
      <c r="H24" s="780"/>
      <c r="I24" s="148"/>
      <c r="J24" s="779">
        <f>ROUND(SUM(J9:J23),2)</f>
        <v>0</v>
      </c>
      <c r="K24" s="779">
        <f>ROUND(SUM(K9:K23),2)</f>
        <v>0</v>
      </c>
      <c r="L24" s="779">
        <f>ROUND(SUM(L9:L23),2)</f>
        <v>0</v>
      </c>
      <c r="M24" s="779">
        <f>ROUND(SUM(M9:M23),2)</f>
        <v>0</v>
      </c>
      <c r="N24" s="780"/>
      <c r="P24" s="996"/>
      <c r="Q24" s="998"/>
      <c r="R24" s="998"/>
      <c r="S24" s="998"/>
      <c r="T24" s="998"/>
      <c r="U24" s="998"/>
    </row>
    <row r="25" spans="1:21" x14ac:dyDescent="0.2">
      <c r="P25" s="996"/>
      <c r="Q25" s="998"/>
      <c r="R25" s="998"/>
      <c r="S25" s="998"/>
      <c r="T25" s="998"/>
      <c r="U25" s="998"/>
    </row>
    <row r="26" spans="1:21" x14ac:dyDescent="0.2">
      <c r="P26" s="996"/>
      <c r="Q26" s="998"/>
      <c r="R26" s="998"/>
      <c r="S26" s="998"/>
      <c r="T26" s="998"/>
      <c r="U26" s="998"/>
    </row>
    <row r="27" spans="1:21" ht="18" x14ac:dyDescent="0.2">
      <c r="A27" s="113" t="s">
        <v>241</v>
      </c>
      <c r="B27" s="113"/>
      <c r="C27" s="110"/>
      <c r="D27" s="110"/>
      <c r="E27" s="110"/>
      <c r="F27" s="111"/>
      <c r="G27" s="112"/>
      <c r="H27" s="112"/>
      <c r="I27" s="148"/>
      <c r="J27" s="112"/>
      <c r="K27" s="112"/>
      <c r="L27" s="112"/>
      <c r="M27" s="112"/>
      <c r="N27" s="112"/>
      <c r="P27" s="996"/>
      <c r="Q27" s="998"/>
      <c r="R27" s="998"/>
      <c r="S27" s="998"/>
      <c r="T27" s="998"/>
      <c r="U27" s="998"/>
    </row>
    <row r="28" spans="1:21" ht="114" x14ac:dyDescent="0.2">
      <c r="A28" s="1259" t="s">
        <v>206</v>
      </c>
      <c r="B28" s="1300" t="s">
        <v>88</v>
      </c>
      <c r="C28" s="521" t="s">
        <v>185</v>
      </c>
      <c r="D28" s="521" t="s">
        <v>420</v>
      </c>
      <c r="E28" s="521" t="s">
        <v>139</v>
      </c>
      <c r="F28" s="521" t="s">
        <v>421</v>
      </c>
      <c r="G28" s="521" t="s">
        <v>150</v>
      </c>
      <c r="H28" s="521" t="s">
        <v>27</v>
      </c>
      <c r="I28" s="1301"/>
      <c r="J28" s="1285" t="s">
        <v>422</v>
      </c>
      <c r="K28" s="1285" t="s">
        <v>423</v>
      </c>
      <c r="L28" s="1285"/>
      <c r="M28" s="1285" t="s">
        <v>151</v>
      </c>
      <c r="N28" s="1285" t="s">
        <v>27</v>
      </c>
      <c r="O28" s="1298"/>
      <c r="P28" s="1287" t="s">
        <v>356</v>
      </c>
      <c r="Q28" s="998"/>
      <c r="R28" s="998"/>
      <c r="S28" s="998"/>
      <c r="T28" s="998"/>
      <c r="U28" s="998"/>
    </row>
    <row r="29" spans="1:21" ht="18" hidden="1" customHeight="1" x14ac:dyDescent="0.2">
      <c r="A29" s="1289" t="s">
        <v>400</v>
      </c>
      <c r="B29" s="1289" t="s">
        <v>337</v>
      </c>
      <c r="C29" s="1291" t="s">
        <v>491</v>
      </c>
      <c r="D29" s="1292" t="s">
        <v>492</v>
      </c>
      <c r="E29" s="1291" t="s">
        <v>493</v>
      </c>
      <c r="F29" s="1292" t="s">
        <v>494</v>
      </c>
      <c r="G29" s="1293" t="str">
        <f>IFERROR(D29+F29,"")</f>
        <v/>
      </c>
      <c r="H29" s="1294" t="s">
        <v>495</v>
      </c>
      <c r="I29" s="1302"/>
      <c r="J29" s="1292" t="s">
        <v>496</v>
      </c>
      <c r="K29" s="1292" t="s">
        <v>497</v>
      </c>
      <c r="L29" s="1292"/>
      <c r="M29" s="1293" t="str">
        <f>IFERROR(J29+K29,"")</f>
        <v/>
      </c>
      <c r="N29" s="1303" t="s">
        <v>498</v>
      </c>
      <c r="O29" s="1298"/>
      <c r="P29" s="1287" t="s">
        <v>355</v>
      </c>
      <c r="Q29" s="998"/>
      <c r="R29" s="998"/>
      <c r="S29" s="998"/>
      <c r="T29" s="998"/>
      <c r="U29" s="998"/>
    </row>
    <row r="30" spans="1:21" ht="18" customHeight="1" x14ac:dyDescent="0.2">
      <c r="A30" s="1289" t="s">
        <v>1078</v>
      </c>
      <c r="B30" s="1289" t="s">
        <v>1079</v>
      </c>
      <c r="C30" s="1291">
        <v>411121.24764700001</v>
      </c>
      <c r="D30" s="1292">
        <v>652624.76297675213</v>
      </c>
      <c r="E30" s="1291">
        <v>120353.69495600001</v>
      </c>
      <c r="F30" s="1292">
        <v>60176.847482575009</v>
      </c>
      <c r="G30" s="1293">
        <f t="shared" ref="G30:G38" si="2">IFERROR(D30+F30,"")</f>
        <v>712801.61045932712</v>
      </c>
      <c r="H30" s="1294"/>
      <c r="I30" s="1302"/>
      <c r="J30" s="1292"/>
      <c r="K30" s="1292"/>
      <c r="L30" s="1292"/>
      <c r="M30" s="1293">
        <f t="shared" ref="M30:M38" si="3">IFERROR(J30+K30,"")</f>
        <v>0</v>
      </c>
      <c r="N30" s="1303"/>
      <c r="O30" s="1298"/>
      <c r="P30" s="1287" t="s">
        <v>1146</v>
      </c>
      <c r="Q30" s="998"/>
      <c r="R30" s="998"/>
      <c r="S30" s="998"/>
      <c r="T30" s="998"/>
      <c r="U30" s="998"/>
    </row>
    <row r="31" spans="1:21" ht="18" customHeight="1" x14ac:dyDescent="0.2">
      <c r="A31" s="1289" t="s">
        <v>989</v>
      </c>
      <c r="B31" s="1289" t="s">
        <v>1065</v>
      </c>
      <c r="C31" s="1291">
        <v>964360.500948</v>
      </c>
      <c r="D31" s="1294">
        <v>1766859.4111709474</v>
      </c>
      <c r="E31" s="1291">
        <v>661462.96406300005</v>
      </c>
      <c r="F31" s="1292">
        <v>91391.911338153164</v>
      </c>
      <c r="G31" s="1293">
        <f t="shared" si="2"/>
        <v>1858251.3225091004</v>
      </c>
      <c r="H31" s="1294"/>
      <c r="I31" s="1302"/>
      <c r="J31" s="1292"/>
      <c r="K31" s="1292"/>
      <c r="L31" s="1292"/>
      <c r="M31" s="1293">
        <f t="shared" si="3"/>
        <v>0</v>
      </c>
      <c r="N31" s="1303"/>
      <c r="O31" s="1298"/>
      <c r="P31" s="1287" t="s">
        <v>1147</v>
      </c>
      <c r="Q31" s="998"/>
      <c r="R31" s="998"/>
      <c r="S31" s="998"/>
      <c r="T31" s="998"/>
      <c r="U31" s="998"/>
    </row>
    <row r="32" spans="1:21" ht="18" customHeight="1" x14ac:dyDescent="0.2">
      <c r="A32" s="1289" t="s">
        <v>989</v>
      </c>
      <c r="B32" s="1289" t="s">
        <v>1067</v>
      </c>
      <c r="C32" s="1291">
        <v>1323978.1599318001</v>
      </c>
      <c r="D32" s="1292">
        <v>1107368.9755345504</v>
      </c>
      <c r="E32" s="1291">
        <v>360087.03447840002</v>
      </c>
      <c r="F32" s="1292">
        <v>184833.76790683583</v>
      </c>
      <c r="G32" s="1293">
        <f t="shared" si="2"/>
        <v>1292202.7434413861</v>
      </c>
      <c r="H32" s="1294"/>
      <c r="I32" s="1302"/>
      <c r="J32" s="1292"/>
      <c r="K32" s="1292"/>
      <c r="L32" s="1292"/>
      <c r="M32" s="1293">
        <f t="shared" si="3"/>
        <v>0</v>
      </c>
      <c r="N32" s="1303"/>
      <c r="O32" s="1298"/>
      <c r="P32" s="1287" t="s">
        <v>1148</v>
      </c>
      <c r="Q32" s="998"/>
      <c r="R32" s="998"/>
      <c r="S32" s="998"/>
      <c r="T32" s="998"/>
      <c r="U32" s="998"/>
    </row>
    <row r="33" spans="1:21" ht="18" customHeight="1" x14ac:dyDescent="0.2">
      <c r="A33" s="1289" t="s">
        <v>1070</v>
      </c>
      <c r="B33" s="1289" t="s">
        <v>1070</v>
      </c>
      <c r="C33" s="1291">
        <v>155919.126368</v>
      </c>
      <c r="D33" s="1292">
        <v>82883.471145937045</v>
      </c>
      <c r="E33" s="1291">
        <v>3636.5210619999998</v>
      </c>
      <c r="F33" s="1292">
        <v>1818.2605307589074</v>
      </c>
      <c r="G33" s="1293">
        <f t="shared" si="2"/>
        <v>84701.731676695956</v>
      </c>
      <c r="H33" s="1294"/>
      <c r="I33" s="1302"/>
      <c r="J33" s="1292"/>
      <c r="K33" s="1292"/>
      <c r="L33" s="1292"/>
      <c r="M33" s="1293">
        <f t="shared" si="3"/>
        <v>0</v>
      </c>
      <c r="N33" s="1303"/>
      <c r="O33" s="1298"/>
      <c r="P33" s="1287" t="s">
        <v>1149</v>
      </c>
      <c r="Q33" s="998"/>
      <c r="R33" s="998"/>
      <c r="S33" s="998"/>
      <c r="T33" s="998"/>
      <c r="U33" s="998"/>
    </row>
    <row r="34" spans="1:21" ht="18" customHeight="1" x14ac:dyDescent="0.2">
      <c r="A34" s="1289" t="s">
        <v>1081</v>
      </c>
      <c r="B34" s="1289" t="s">
        <v>1082</v>
      </c>
      <c r="C34" s="1291">
        <v>178408.069606</v>
      </c>
      <c r="D34" s="1292">
        <v>186593.63137853009</v>
      </c>
      <c r="E34" s="1291">
        <v>112524.35170100001</v>
      </c>
      <c r="F34" s="1292">
        <v>43815.749599549767</v>
      </c>
      <c r="G34" s="1293">
        <f t="shared" si="2"/>
        <v>230409.38097807986</v>
      </c>
      <c r="H34" s="1294"/>
      <c r="I34" s="1302"/>
      <c r="J34" s="1292"/>
      <c r="K34" s="1292"/>
      <c r="L34" s="1292"/>
      <c r="M34" s="1293">
        <f t="shared" si="3"/>
        <v>0</v>
      </c>
      <c r="N34" s="1303"/>
      <c r="O34" s="1298"/>
      <c r="P34" s="1287" t="s">
        <v>1150</v>
      </c>
      <c r="Q34" s="998"/>
      <c r="R34" s="998"/>
      <c r="S34" s="998"/>
      <c r="T34" s="998"/>
      <c r="U34" s="998"/>
    </row>
    <row r="35" spans="1:21" ht="18" customHeight="1" x14ac:dyDescent="0.2">
      <c r="A35" s="1289" t="s">
        <v>1012</v>
      </c>
      <c r="B35" s="1289" t="s">
        <v>1013</v>
      </c>
      <c r="C35" s="1291">
        <v>393797.13407500001</v>
      </c>
      <c r="D35" s="1292">
        <v>550981.73887092667</v>
      </c>
      <c r="E35" s="1291">
        <v>122307.675657</v>
      </c>
      <c r="F35" s="1292">
        <v>64807.675656954845</v>
      </c>
      <c r="G35" s="1293">
        <f t="shared" si="2"/>
        <v>615789.41452788154</v>
      </c>
      <c r="H35" s="1294"/>
      <c r="I35" s="1302"/>
      <c r="J35" s="1292"/>
      <c r="K35" s="1292"/>
      <c r="L35" s="1292"/>
      <c r="M35" s="1293">
        <f t="shared" si="3"/>
        <v>0</v>
      </c>
      <c r="N35" s="1303"/>
      <c r="O35" s="1298"/>
      <c r="P35" s="1287" t="s">
        <v>1151</v>
      </c>
      <c r="Q35" s="998"/>
      <c r="R35" s="998"/>
      <c r="S35" s="998"/>
      <c r="T35" s="998"/>
      <c r="U35" s="998"/>
    </row>
    <row r="36" spans="1:21" ht="18" customHeight="1" x14ac:dyDescent="0.2">
      <c r="A36" s="1289" t="s">
        <v>1072</v>
      </c>
      <c r="B36" s="1289" t="s">
        <v>1152</v>
      </c>
      <c r="C36" s="1291">
        <v>47174.133078999999</v>
      </c>
      <c r="D36" s="1292">
        <v>47174.133079354084</v>
      </c>
      <c r="E36" s="1291">
        <v>0</v>
      </c>
      <c r="F36" s="1292">
        <v>0</v>
      </c>
      <c r="G36" s="1293">
        <f t="shared" si="2"/>
        <v>47174.133079354084</v>
      </c>
      <c r="H36" s="1294"/>
      <c r="I36" s="1302"/>
      <c r="J36" s="1292"/>
      <c r="K36" s="1292"/>
      <c r="L36" s="1292"/>
      <c r="M36" s="1293">
        <f t="shared" si="3"/>
        <v>0</v>
      </c>
      <c r="N36" s="1303"/>
      <c r="O36" s="1298"/>
      <c r="P36" s="1287" t="s">
        <v>1153</v>
      </c>
      <c r="Q36" s="998"/>
      <c r="R36" s="998"/>
      <c r="S36" s="998"/>
      <c r="T36" s="998"/>
      <c r="U36" s="998"/>
    </row>
    <row r="37" spans="1:21" ht="18" customHeight="1" x14ac:dyDescent="0.2">
      <c r="A37" s="1289" t="s">
        <v>1072</v>
      </c>
      <c r="B37" s="1289" t="s">
        <v>1073</v>
      </c>
      <c r="C37" s="1291">
        <v>275568.27568800002</v>
      </c>
      <c r="D37" s="1292">
        <v>368904.43264463497</v>
      </c>
      <c r="E37" s="1291">
        <v>137394.510588</v>
      </c>
      <c r="F37" s="1292">
        <v>68697.255292436923</v>
      </c>
      <c r="G37" s="1293">
        <f t="shared" si="2"/>
        <v>437601.6879370719</v>
      </c>
      <c r="H37" s="1294"/>
      <c r="I37" s="1302"/>
      <c r="J37" s="1292"/>
      <c r="K37" s="1292"/>
      <c r="L37" s="1292"/>
      <c r="M37" s="1293">
        <f t="shared" si="3"/>
        <v>0</v>
      </c>
      <c r="N37" s="1303"/>
      <c r="O37" s="1298"/>
      <c r="P37" s="1287" t="s">
        <v>1154</v>
      </c>
      <c r="Q37" s="998"/>
      <c r="R37" s="998"/>
      <c r="S37" s="998"/>
      <c r="T37" s="998"/>
      <c r="U37" s="998"/>
    </row>
    <row r="38" spans="1:21" ht="18" customHeight="1" x14ac:dyDescent="0.2">
      <c r="A38" s="1289" t="s">
        <v>1075</v>
      </c>
      <c r="B38" s="1289" t="s">
        <v>1076</v>
      </c>
      <c r="C38" s="1291">
        <v>62097.834971999997</v>
      </c>
      <c r="D38" s="1292">
        <v>102494.6762661447</v>
      </c>
      <c r="E38" s="1291">
        <v>0</v>
      </c>
      <c r="F38" s="1292">
        <v>0</v>
      </c>
      <c r="G38" s="1293">
        <f t="shared" si="2"/>
        <v>102494.6762661447</v>
      </c>
      <c r="H38" s="1294"/>
      <c r="I38" s="1302"/>
      <c r="J38" s="1292"/>
      <c r="K38" s="1292"/>
      <c r="L38" s="1292"/>
      <c r="M38" s="1293">
        <f t="shared" si="3"/>
        <v>0</v>
      </c>
      <c r="N38" s="1303"/>
      <c r="O38" s="1298"/>
      <c r="P38" s="1287" t="s">
        <v>1155</v>
      </c>
      <c r="Q38" s="998"/>
      <c r="R38" s="998"/>
      <c r="S38" s="998"/>
      <c r="T38" s="998"/>
      <c r="U38" s="998"/>
    </row>
    <row r="39" spans="1:21" x14ac:dyDescent="0.2">
      <c r="A39" s="1341"/>
      <c r="B39" s="1341"/>
      <c r="C39" s="1342"/>
      <c r="D39" s="1343"/>
      <c r="E39" s="1342"/>
      <c r="F39" s="1343"/>
      <c r="G39" s="1343"/>
      <c r="H39" s="1344"/>
      <c r="I39" s="1302"/>
      <c r="J39" s="1345"/>
      <c r="K39" s="1345"/>
      <c r="L39" s="1345"/>
      <c r="M39" s="1345"/>
      <c r="N39" s="1346"/>
      <c r="O39" s="1298"/>
      <c r="P39" s="1287"/>
      <c r="Q39" s="1288"/>
      <c r="R39" s="1288" t="s">
        <v>356</v>
      </c>
      <c r="S39" s="998"/>
      <c r="T39" s="998"/>
      <c r="U39" s="998"/>
    </row>
    <row r="40" spans="1:21" ht="16.5" hidden="1" customHeight="1" x14ac:dyDescent="0.2">
      <c r="A40" s="1347" t="s">
        <v>400</v>
      </c>
      <c r="B40" s="1347" t="s">
        <v>337</v>
      </c>
      <c r="C40" s="1291" t="s">
        <v>491</v>
      </c>
      <c r="D40" s="1292" t="s">
        <v>492</v>
      </c>
      <c r="E40" s="1291" t="s">
        <v>493</v>
      </c>
      <c r="F40" s="1292" t="s">
        <v>494</v>
      </c>
      <c r="G40" s="1293" t="str">
        <f>IFERROR(D40+F40,"")</f>
        <v/>
      </c>
      <c r="H40" s="1294" t="s">
        <v>495</v>
      </c>
      <c r="I40" s="1302"/>
      <c r="J40" s="1292" t="s">
        <v>496</v>
      </c>
      <c r="K40" s="1292" t="s">
        <v>497</v>
      </c>
      <c r="L40" s="1302"/>
      <c r="M40" s="1293" t="str">
        <f>IFERROR(J40+K40,"")</f>
        <v/>
      </c>
      <c r="N40" s="1303" t="s">
        <v>498</v>
      </c>
      <c r="O40" s="1302"/>
      <c r="P40" s="1287" t="str">
        <f>IFERROR(IF(VLOOKUP(A40,'Reference Records'!$B$12:$D$25,3,FALSE)=0,"",VLOOKUP(A40,'Reference Records'!$B$12:$D$25,3,FALSE)),"")</f>
        <v/>
      </c>
      <c r="Q40" s="1288"/>
      <c r="R40" s="1288" t="s">
        <v>355</v>
      </c>
      <c r="S40" s="998"/>
      <c r="T40" s="998"/>
      <c r="U40" s="998"/>
    </row>
    <row r="41" spans="1:21" ht="16.5" hidden="1" customHeight="1" x14ac:dyDescent="0.2">
      <c r="A41" s="1347"/>
      <c r="B41" s="1347"/>
      <c r="C41" s="1291">
        <v>0</v>
      </c>
      <c r="D41" s="1292"/>
      <c r="E41" s="1291">
        <v>0</v>
      </c>
      <c r="F41" s="1292"/>
      <c r="G41" s="1293">
        <f t="shared" ref="G41:G65" si="4">IFERROR(D41+F41,"")</f>
        <v>0</v>
      </c>
      <c r="H41" s="1294"/>
      <c r="I41" s="1302"/>
      <c r="J41" s="1292"/>
      <c r="K41" s="1292"/>
      <c r="L41" s="1302"/>
      <c r="M41" s="1293">
        <f t="shared" ref="M41:M65" si="5">IFERROR(J41+K41,"")</f>
        <v>0</v>
      </c>
      <c r="N41" s="1303"/>
      <c r="O41" s="1302"/>
      <c r="P41" s="1287" t="str">
        <f>IFERROR(IF(VLOOKUP(A41,'Reference Records'!$B$12:$D$25,3,FALSE)=0,"",VLOOKUP(A41,'Reference Records'!$B$12:$D$25,3,FALSE)),"")</f>
        <v/>
      </c>
      <c r="Q41" s="1288"/>
      <c r="R41" s="1288" t="s">
        <v>1404</v>
      </c>
      <c r="S41" s="998"/>
      <c r="T41" s="998"/>
      <c r="U41" s="998"/>
    </row>
    <row r="42" spans="1:21" ht="16.5" hidden="1" customHeight="1" x14ac:dyDescent="0.2">
      <c r="A42" s="1347"/>
      <c r="B42" s="1347"/>
      <c r="C42" s="1291">
        <v>0</v>
      </c>
      <c r="D42" s="1292"/>
      <c r="E42" s="1291">
        <v>0</v>
      </c>
      <c r="F42" s="1292"/>
      <c r="G42" s="1293">
        <f t="shared" si="4"/>
        <v>0</v>
      </c>
      <c r="H42" s="1294"/>
      <c r="I42" s="1302"/>
      <c r="J42" s="1292"/>
      <c r="K42" s="1292"/>
      <c r="L42" s="1302"/>
      <c r="M42" s="1293">
        <f t="shared" si="5"/>
        <v>0</v>
      </c>
      <c r="N42" s="1303"/>
      <c r="O42" s="1302"/>
      <c r="P42" s="1287" t="str">
        <f>IFERROR(IF(VLOOKUP(A42,'Reference Records'!$B$12:$D$25,3,FALSE)=0,"",VLOOKUP(A42,'Reference Records'!$B$12:$D$25,3,FALSE)),"")</f>
        <v/>
      </c>
      <c r="Q42" s="1288"/>
      <c r="R42" s="1288" t="s">
        <v>1405</v>
      </c>
      <c r="S42" s="998"/>
      <c r="T42" s="998"/>
      <c r="U42" s="998"/>
    </row>
    <row r="43" spans="1:21" ht="16.5" hidden="1" customHeight="1" x14ac:dyDescent="0.2">
      <c r="A43" s="1347"/>
      <c r="B43" s="1347"/>
      <c r="C43" s="1291">
        <v>0</v>
      </c>
      <c r="D43" s="1292"/>
      <c r="E43" s="1291">
        <v>0</v>
      </c>
      <c r="F43" s="1292"/>
      <c r="G43" s="1293">
        <f t="shared" si="4"/>
        <v>0</v>
      </c>
      <c r="H43" s="1294"/>
      <c r="I43" s="1302"/>
      <c r="J43" s="1292"/>
      <c r="K43" s="1292"/>
      <c r="L43" s="1302"/>
      <c r="M43" s="1293">
        <f t="shared" si="5"/>
        <v>0</v>
      </c>
      <c r="N43" s="1303"/>
      <c r="O43" s="1302"/>
      <c r="P43" s="1287" t="str">
        <f>IFERROR(IF(VLOOKUP(A43,'Reference Records'!$B$12:$D$25,3,FALSE)=0,"",VLOOKUP(A43,'Reference Records'!$B$12:$D$25,3,FALSE)),"")</f>
        <v/>
      </c>
      <c r="Q43" s="1288"/>
      <c r="R43" s="1288" t="s">
        <v>1406</v>
      </c>
      <c r="S43" s="998"/>
      <c r="T43" s="998"/>
      <c r="U43" s="998"/>
    </row>
    <row r="44" spans="1:21" ht="16.5" hidden="1" customHeight="1" x14ac:dyDescent="0.2">
      <c r="A44" s="1347"/>
      <c r="B44" s="1347"/>
      <c r="C44" s="1291">
        <v>0</v>
      </c>
      <c r="D44" s="1292"/>
      <c r="E44" s="1291">
        <v>0</v>
      </c>
      <c r="F44" s="1292"/>
      <c r="G44" s="1293">
        <f t="shared" si="4"/>
        <v>0</v>
      </c>
      <c r="H44" s="1294"/>
      <c r="I44" s="1302"/>
      <c r="J44" s="1292"/>
      <c r="K44" s="1292"/>
      <c r="L44" s="1302"/>
      <c r="M44" s="1293">
        <f t="shared" si="5"/>
        <v>0</v>
      </c>
      <c r="N44" s="1303"/>
      <c r="O44" s="1302"/>
      <c r="P44" s="1287" t="str">
        <f>IFERROR(IF(VLOOKUP(A44,'Reference Records'!$B$12:$D$25,3,FALSE)=0,"",VLOOKUP(A44,'Reference Records'!$B$12:$D$25,3,FALSE)),"")</f>
        <v/>
      </c>
      <c r="Q44" s="1288"/>
      <c r="R44" s="1288" t="s">
        <v>1407</v>
      </c>
      <c r="S44" s="998"/>
      <c r="T44" s="998"/>
      <c r="U44" s="998"/>
    </row>
    <row r="45" spans="1:21" ht="16.5" hidden="1" customHeight="1" x14ac:dyDescent="0.2">
      <c r="A45" s="1347"/>
      <c r="B45" s="1347"/>
      <c r="C45" s="1291">
        <v>0</v>
      </c>
      <c r="D45" s="1292"/>
      <c r="E45" s="1291">
        <v>0</v>
      </c>
      <c r="F45" s="1292"/>
      <c r="G45" s="1293">
        <f t="shared" si="4"/>
        <v>0</v>
      </c>
      <c r="H45" s="1294"/>
      <c r="I45" s="1302"/>
      <c r="J45" s="1292"/>
      <c r="K45" s="1292"/>
      <c r="L45" s="1302"/>
      <c r="M45" s="1293">
        <f t="shared" si="5"/>
        <v>0</v>
      </c>
      <c r="N45" s="1303"/>
      <c r="O45" s="1302"/>
      <c r="P45" s="1287" t="str">
        <f>IFERROR(IF(VLOOKUP(A45,'Reference Records'!$B$12:$D$25,3,FALSE)=0,"",VLOOKUP(A45,'Reference Records'!$B$12:$D$25,3,FALSE)),"")</f>
        <v/>
      </c>
      <c r="Q45" s="1288"/>
      <c r="R45" s="1288" t="s">
        <v>1408</v>
      </c>
      <c r="S45" s="998"/>
      <c r="T45" s="998"/>
      <c r="U45" s="998"/>
    </row>
    <row r="46" spans="1:21" ht="16.5" hidden="1" customHeight="1" x14ac:dyDescent="0.2">
      <c r="A46" s="1347"/>
      <c r="B46" s="1347"/>
      <c r="C46" s="1291">
        <v>0</v>
      </c>
      <c r="D46" s="1292"/>
      <c r="E46" s="1291">
        <v>0</v>
      </c>
      <c r="F46" s="1292"/>
      <c r="G46" s="1293">
        <f t="shared" si="4"/>
        <v>0</v>
      </c>
      <c r="H46" s="1294"/>
      <c r="I46" s="1302"/>
      <c r="J46" s="1292"/>
      <c r="K46" s="1292"/>
      <c r="L46" s="1302"/>
      <c r="M46" s="1293">
        <f t="shared" si="5"/>
        <v>0</v>
      </c>
      <c r="N46" s="1303"/>
      <c r="O46" s="1302"/>
      <c r="P46" s="1287" t="str">
        <f>IFERROR(IF(VLOOKUP(A46,'Reference Records'!$B$12:$D$25,3,FALSE)=0,"",VLOOKUP(A46,'Reference Records'!$B$12:$D$25,3,FALSE)),"")</f>
        <v/>
      </c>
      <c r="Q46" s="1288"/>
      <c r="R46" s="1288" t="s">
        <v>1409</v>
      </c>
      <c r="S46" s="998"/>
      <c r="T46" s="998"/>
      <c r="U46" s="998"/>
    </row>
    <row r="47" spans="1:21" ht="16.5" hidden="1" customHeight="1" x14ac:dyDescent="0.2">
      <c r="A47" s="1347"/>
      <c r="B47" s="1347"/>
      <c r="C47" s="1291">
        <v>0</v>
      </c>
      <c r="D47" s="1292"/>
      <c r="E47" s="1291">
        <v>0</v>
      </c>
      <c r="F47" s="1292"/>
      <c r="G47" s="1293">
        <f t="shared" si="4"/>
        <v>0</v>
      </c>
      <c r="H47" s="1294"/>
      <c r="I47" s="1302"/>
      <c r="J47" s="1292"/>
      <c r="K47" s="1292"/>
      <c r="L47" s="1302"/>
      <c r="M47" s="1293">
        <f t="shared" si="5"/>
        <v>0</v>
      </c>
      <c r="N47" s="1303"/>
      <c r="O47" s="1302"/>
      <c r="P47" s="1287" t="str">
        <f>IFERROR(IF(VLOOKUP(A47,'Reference Records'!$B$12:$D$25,3,FALSE)=0,"",VLOOKUP(A47,'Reference Records'!$B$12:$D$25,3,FALSE)),"")</f>
        <v/>
      </c>
      <c r="Q47" s="1288"/>
      <c r="R47" s="1288" t="s">
        <v>1410</v>
      </c>
      <c r="S47" s="998"/>
      <c r="T47" s="998"/>
      <c r="U47" s="998"/>
    </row>
    <row r="48" spans="1:21" ht="16.5" hidden="1" customHeight="1" x14ac:dyDescent="0.2">
      <c r="A48" s="1347"/>
      <c r="B48" s="1347"/>
      <c r="C48" s="1291">
        <v>0</v>
      </c>
      <c r="D48" s="1292"/>
      <c r="E48" s="1291">
        <v>0</v>
      </c>
      <c r="F48" s="1292"/>
      <c r="G48" s="1293">
        <f t="shared" si="4"/>
        <v>0</v>
      </c>
      <c r="H48" s="1294"/>
      <c r="I48" s="1302"/>
      <c r="J48" s="1292"/>
      <c r="K48" s="1292"/>
      <c r="L48" s="1302"/>
      <c r="M48" s="1293">
        <f t="shared" si="5"/>
        <v>0</v>
      </c>
      <c r="N48" s="1303"/>
      <c r="O48" s="1302"/>
      <c r="P48" s="1287" t="str">
        <f>IFERROR(IF(VLOOKUP(A48,'Reference Records'!$B$12:$D$25,3,FALSE)=0,"",VLOOKUP(A48,'Reference Records'!$B$12:$D$25,3,FALSE)),"")</f>
        <v/>
      </c>
      <c r="Q48" s="1288"/>
      <c r="R48" s="1288" t="s">
        <v>1411</v>
      </c>
      <c r="S48" s="998"/>
      <c r="T48" s="998"/>
      <c r="U48" s="998"/>
    </row>
    <row r="49" spans="1:21" ht="16.5" hidden="1" customHeight="1" x14ac:dyDescent="0.2">
      <c r="A49" s="1347"/>
      <c r="B49" s="1347"/>
      <c r="C49" s="1291">
        <v>0</v>
      </c>
      <c r="D49" s="1292"/>
      <c r="E49" s="1291">
        <v>0</v>
      </c>
      <c r="F49" s="1292"/>
      <c r="G49" s="1293">
        <f t="shared" si="4"/>
        <v>0</v>
      </c>
      <c r="H49" s="1294"/>
      <c r="I49" s="1302"/>
      <c r="J49" s="1292"/>
      <c r="K49" s="1292"/>
      <c r="L49" s="1302"/>
      <c r="M49" s="1293">
        <f t="shared" si="5"/>
        <v>0</v>
      </c>
      <c r="N49" s="1303"/>
      <c r="O49" s="1302"/>
      <c r="P49" s="1287" t="str">
        <f>IFERROR(IF(VLOOKUP(A49,'Reference Records'!$B$12:$D$25,3,FALSE)=0,"",VLOOKUP(A49,'Reference Records'!$B$12:$D$25,3,FALSE)),"")</f>
        <v/>
      </c>
      <c r="Q49" s="1288"/>
      <c r="R49" s="1288" t="s">
        <v>1412</v>
      </c>
      <c r="S49" s="998"/>
      <c r="T49" s="998"/>
      <c r="U49" s="998"/>
    </row>
    <row r="50" spans="1:21" ht="16.5" hidden="1" customHeight="1" x14ac:dyDescent="0.2">
      <c r="A50" s="1347"/>
      <c r="B50" s="1347"/>
      <c r="C50" s="1291">
        <v>0</v>
      </c>
      <c r="D50" s="1292"/>
      <c r="E50" s="1291">
        <v>0</v>
      </c>
      <c r="F50" s="1292"/>
      <c r="G50" s="1293">
        <f t="shared" si="4"/>
        <v>0</v>
      </c>
      <c r="H50" s="1294"/>
      <c r="I50" s="1302"/>
      <c r="J50" s="1292"/>
      <c r="K50" s="1292"/>
      <c r="L50" s="1302"/>
      <c r="M50" s="1293">
        <f t="shared" si="5"/>
        <v>0</v>
      </c>
      <c r="N50" s="1303"/>
      <c r="O50" s="1302"/>
      <c r="P50" s="1287" t="str">
        <f>IFERROR(IF(VLOOKUP(A50,'Reference Records'!$B$12:$D$25,3,FALSE)=0,"",VLOOKUP(A50,'Reference Records'!$B$12:$D$25,3,FALSE)),"")</f>
        <v/>
      </c>
      <c r="Q50" s="1288"/>
      <c r="R50" s="1288" t="s">
        <v>1413</v>
      </c>
      <c r="S50" s="998"/>
      <c r="T50" s="998"/>
      <c r="U50" s="998"/>
    </row>
    <row r="51" spans="1:21" ht="16.5" hidden="1" customHeight="1" x14ac:dyDescent="0.2">
      <c r="A51" s="1347"/>
      <c r="B51" s="1347"/>
      <c r="C51" s="1291">
        <v>0</v>
      </c>
      <c r="D51" s="1292"/>
      <c r="E51" s="1291">
        <v>0</v>
      </c>
      <c r="F51" s="1292"/>
      <c r="G51" s="1293">
        <f t="shared" si="4"/>
        <v>0</v>
      </c>
      <c r="H51" s="1294"/>
      <c r="I51" s="1302"/>
      <c r="J51" s="1292"/>
      <c r="K51" s="1292"/>
      <c r="L51" s="1302"/>
      <c r="M51" s="1293">
        <f t="shared" si="5"/>
        <v>0</v>
      </c>
      <c r="N51" s="1303"/>
      <c r="O51" s="1302"/>
      <c r="P51" s="1287" t="str">
        <f>IFERROR(IF(VLOOKUP(A51,'Reference Records'!$B$12:$D$25,3,FALSE)=0,"",VLOOKUP(A51,'Reference Records'!$B$12:$D$25,3,FALSE)),"")</f>
        <v/>
      </c>
      <c r="Q51" s="1288"/>
      <c r="R51" s="1288" t="s">
        <v>1414</v>
      </c>
      <c r="S51" s="998"/>
      <c r="T51" s="998"/>
      <c r="U51" s="998"/>
    </row>
    <row r="52" spans="1:21" ht="16.5" hidden="1" customHeight="1" x14ac:dyDescent="0.2">
      <c r="A52" s="1347"/>
      <c r="B52" s="1347"/>
      <c r="C52" s="1291">
        <v>0</v>
      </c>
      <c r="D52" s="1292"/>
      <c r="E52" s="1291">
        <v>0</v>
      </c>
      <c r="F52" s="1292"/>
      <c r="G52" s="1293">
        <f t="shared" si="4"/>
        <v>0</v>
      </c>
      <c r="H52" s="1294"/>
      <c r="I52" s="1302"/>
      <c r="J52" s="1292"/>
      <c r="K52" s="1292"/>
      <c r="L52" s="1302"/>
      <c r="M52" s="1293">
        <f t="shared" si="5"/>
        <v>0</v>
      </c>
      <c r="N52" s="1303"/>
      <c r="O52" s="1302"/>
      <c r="P52" s="1287" t="str">
        <f>IFERROR(IF(VLOOKUP(A52,'Reference Records'!$B$12:$D$25,3,FALSE)=0,"",VLOOKUP(A52,'Reference Records'!$B$12:$D$25,3,FALSE)),"")</f>
        <v/>
      </c>
      <c r="Q52" s="1288"/>
      <c r="R52" s="1288" t="s">
        <v>1415</v>
      </c>
      <c r="S52" s="998"/>
      <c r="T52" s="998"/>
      <c r="U52" s="998"/>
    </row>
    <row r="53" spans="1:21" ht="16.5" hidden="1" customHeight="1" x14ac:dyDescent="0.2">
      <c r="A53" s="1347"/>
      <c r="B53" s="1347"/>
      <c r="C53" s="1291">
        <v>0</v>
      </c>
      <c r="D53" s="1292"/>
      <c r="E53" s="1291">
        <v>0</v>
      </c>
      <c r="F53" s="1292"/>
      <c r="G53" s="1293">
        <f t="shared" si="4"/>
        <v>0</v>
      </c>
      <c r="H53" s="1294"/>
      <c r="I53" s="1302"/>
      <c r="J53" s="1292"/>
      <c r="K53" s="1292"/>
      <c r="L53" s="1302"/>
      <c r="M53" s="1293">
        <f t="shared" si="5"/>
        <v>0</v>
      </c>
      <c r="N53" s="1303"/>
      <c r="O53" s="1302"/>
      <c r="P53" s="1287" t="str">
        <f>IFERROR(IF(VLOOKUP(A53,'Reference Records'!$B$12:$D$25,3,FALSE)=0,"",VLOOKUP(A53,'Reference Records'!$B$12:$D$25,3,FALSE)),"")</f>
        <v/>
      </c>
      <c r="Q53" s="1288"/>
      <c r="R53" s="1288" t="s">
        <v>1416</v>
      </c>
      <c r="S53" s="998"/>
      <c r="T53" s="998"/>
      <c r="U53" s="998"/>
    </row>
    <row r="54" spans="1:21" ht="16.5" hidden="1" customHeight="1" x14ac:dyDescent="0.2">
      <c r="A54" s="1347"/>
      <c r="B54" s="1347"/>
      <c r="C54" s="1291">
        <v>0</v>
      </c>
      <c r="D54" s="1292"/>
      <c r="E54" s="1291">
        <v>0</v>
      </c>
      <c r="F54" s="1292"/>
      <c r="G54" s="1293">
        <f t="shared" si="4"/>
        <v>0</v>
      </c>
      <c r="H54" s="1294"/>
      <c r="I54" s="1302"/>
      <c r="J54" s="1292"/>
      <c r="K54" s="1292"/>
      <c r="L54" s="1302"/>
      <c r="M54" s="1293">
        <f t="shared" si="5"/>
        <v>0</v>
      </c>
      <c r="N54" s="1303"/>
      <c r="O54" s="1302"/>
      <c r="P54" s="1287" t="str">
        <f>IFERROR(IF(VLOOKUP(A54,'Reference Records'!$B$12:$D$25,3,FALSE)=0,"",VLOOKUP(A54,'Reference Records'!$B$12:$D$25,3,FALSE)),"")</f>
        <v/>
      </c>
      <c r="Q54" s="1288"/>
      <c r="R54" s="1288" t="s">
        <v>1417</v>
      </c>
      <c r="S54" s="998"/>
      <c r="T54" s="998"/>
      <c r="U54" s="998"/>
    </row>
    <row r="55" spans="1:21" ht="16.5" hidden="1" customHeight="1" x14ac:dyDescent="0.2">
      <c r="A55" s="1347"/>
      <c r="B55" s="1347"/>
      <c r="C55" s="1291">
        <v>0</v>
      </c>
      <c r="D55" s="1292"/>
      <c r="E55" s="1291">
        <v>0</v>
      </c>
      <c r="F55" s="1292"/>
      <c r="G55" s="1293">
        <f t="shared" si="4"/>
        <v>0</v>
      </c>
      <c r="H55" s="1294"/>
      <c r="I55" s="1302"/>
      <c r="J55" s="1292"/>
      <c r="K55" s="1292"/>
      <c r="L55" s="1302"/>
      <c r="M55" s="1293">
        <f t="shared" si="5"/>
        <v>0</v>
      </c>
      <c r="N55" s="1303"/>
      <c r="O55" s="1302"/>
      <c r="P55" s="1287" t="str">
        <f>IFERROR(IF(VLOOKUP(A55,'Reference Records'!$B$12:$D$25,3,FALSE)=0,"",VLOOKUP(A55,'Reference Records'!$B$12:$D$25,3,FALSE)),"")</f>
        <v/>
      </c>
      <c r="Q55" s="1288"/>
      <c r="R55" s="1288" t="s">
        <v>1418</v>
      </c>
      <c r="S55" s="998"/>
      <c r="T55" s="998"/>
      <c r="U55" s="998"/>
    </row>
    <row r="56" spans="1:21" ht="16.5" hidden="1" customHeight="1" x14ac:dyDescent="0.2">
      <c r="A56" s="1347"/>
      <c r="B56" s="1347"/>
      <c r="C56" s="1291">
        <v>0</v>
      </c>
      <c r="D56" s="1292"/>
      <c r="E56" s="1291">
        <v>0</v>
      </c>
      <c r="F56" s="1292"/>
      <c r="G56" s="1293">
        <f t="shared" si="4"/>
        <v>0</v>
      </c>
      <c r="H56" s="1294"/>
      <c r="I56" s="1302"/>
      <c r="J56" s="1292"/>
      <c r="K56" s="1292"/>
      <c r="L56" s="1302"/>
      <c r="M56" s="1293">
        <f t="shared" si="5"/>
        <v>0</v>
      </c>
      <c r="N56" s="1303"/>
      <c r="O56" s="1302"/>
      <c r="P56" s="1287" t="str">
        <f>IFERROR(IF(VLOOKUP(A56,'Reference Records'!$B$12:$D$25,3,FALSE)=0,"",VLOOKUP(A56,'Reference Records'!$B$12:$D$25,3,FALSE)),"")</f>
        <v/>
      </c>
      <c r="Q56" s="1288"/>
      <c r="R56" s="1288" t="s">
        <v>1419</v>
      </c>
      <c r="S56" s="998"/>
      <c r="T56" s="998"/>
      <c r="U56" s="998"/>
    </row>
    <row r="57" spans="1:21" ht="16.5" hidden="1" customHeight="1" x14ac:dyDescent="0.2">
      <c r="A57" s="1347"/>
      <c r="B57" s="1347"/>
      <c r="C57" s="1291">
        <v>0</v>
      </c>
      <c r="D57" s="1292"/>
      <c r="E57" s="1291">
        <v>0</v>
      </c>
      <c r="F57" s="1292"/>
      <c r="G57" s="1293">
        <f t="shared" si="4"/>
        <v>0</v>
      </c>
      <c r="H57" s="1294"/>
      <c r="I57" s="1302"/>
      <c r="J57" s="1292"/>
      <c r="K57" s="1292"/>
      <c r="L57" s="1302"/>
      <c r="M57" s="1293">
        <f t="shared" si="5"/>
        <v>0</v>
      </c>
      <c r="N57" s="1303"/>
      <c r="O57" s="1302"/>
      <c r="P57" s="1287" t="str">
        <f>IFERROR(IF(VLOOKUP(A57,'Reference Records'!$B$12:$D$25,3,FALSE)=0,"",VLOOKUP(A57,'Reference Records'!$B$12:$D$25,3,FALSE)),"")</f>
        <v/>
      </c>
      <c r="Q57" s="1288"/>
      <c r="R57" s="1288" t="s">
        <v>1420</v>
      </c>
      <c r="S57" s="998"/>
      <c r="T57" s="998"/>
      <c r="U57" s="998"/>
    </row>
    <row r="58" spans="1:21" ht="16.5" hidden="1" customHeight="1" x14ac:dyDescent="0.2">
      <c r="A58" s="1347"/>
      <c r="B58" s="1347"/>
      <c r="C58" s="1291">
        <v>0</v>
      </c>
      <c r="D58" s="1292"/>
      <c r="E58" s="1291">
        <v>0</v>
      </c>
      <c r="F58" s="1292"/>
      <c r="G58" s="1293">
        <f t="shared" si="4"/>
        <v>0</v>
      </c>
      <c r="H58" s="1294"/>
      <c r="I58" s="1302"/>
      <c r="J58" s="1292"/>
      <c r="K58" s="1292"/>
      <c r="L58" s="1302"/>
      <c r="M58" s="1293">
        <f t="shared" si="5"/>
        <v>0</v>
      </c>
      <c r="N58" s="1303"/>
      <c r="O58" s="1302"/>
      <c r="P58" s="1287" t="str">
        <f>IFERROR(IF(VLOOKUP(A58,'Reference Records'!$B$12:$D$25,3,FALSE)=0,"",VLOOKUP(A58,'Reference Records'!$B$12:$D$25,3,FALSE)),"")</f>
        <v/>
      </c>
      <c r="Q58" s="1288"/>
      <c r="R58" s="1288" t="s">
        <v>1421</v>
      </c>
      <c r="S58" s="998"/>
      <c r="T58" s="998"/>
      <c r="U58" s="998"/>
    </row>
    <row r="59" spans="1:21" ht="16.5" hidden="1" customHeight="1" x14ac:dyDescent="0.2">
      <c r="A59" s="1347"/>
      <c r="B59" s="1347"/>
      <c r="C59" s="1291">
        <v>0</v>
      </c>
      <c r="D59" s="1292"/>
      <c r="E59" s="1291">
        <v>0</v>
      </c>
      <c r="F59" s="1292"/>
      <c r="G59" s="1293">
        <f t="shared" si="4"/>
        <v>0</v>
      </c>
      <c r="H59" s="1294"/>
      <c r="I59" s="1302"/>
      <c r="J59" s="1292"/>
      <c r="K59" s="1292"/>
      <c r="L59" s="1302"/>
      <c r="M59" s="1293">
        <f t="shared" si="5"/>
        <v>0</v>
      </c>
      <c r="N59" s="1303"/>
      <c r="O59" s="1302"/>
      <c r="P59" s="1287" t="str">
        <f>IFERROR(IF(VLOOKUP(A59,'Reference Records'!$B$12:$D$25,3,FALSE)=0,"",VLOOKUP(A59,'Reference Records'!$B$12:$D$25,3,FALSE)),"")</f>
        <v/>
      </c>
      <c r="Q59" s="1288"/>
      <c r="R59" s="1288" t="s">
        <v>1422</v>
      </c>
      <c r="S59" s="998"/>
      <c r="T59" s="998"/>
      <c r="U59" s="998"/>
    </row>
    <row r="60" spans="1:21" ht="16.5" hidden="1" customHeight="1" x14ac:dyDescent="0.2">
      <c r="A60" s="1347"/>
      <c r="B60" s="1347"/>
      <c r="C60" s="1291">
        <v>0</v>
      </c>
      <c r="D60" s="1292"/>
      <c r="E60" s="1291">
        <v>0</v>
      </c>
      <c r="F60" s="1292"/>
      <c r="G60" s="1293">
        <f t="shared" si="4"/>
        <v>0</v>
      </c>
      <c r="H60" s="1294"/>
      <c r="I60" s="1302"/>
      <c r="J60" s="1292"/>
      <c r="K60" s="1292"/>
      <c r="L60" s="1302"/>
      <c r="M60" s="1293">
        <f t="shared" si="5"/>
        <v>0</v>
      </c>
      <c r="N60" s="1303"/>
      <c r="O60" s="1302"/>
      <c r="P60" s="1287" t="str">
        <f>IFERROR(IF(VLOOKUP(A60,'Reference Records'!$B$12:$D$25,3,FALSE)=0,"",VLOOKUP(A60,'Reference Records'!$B$12:$D$25,3,FALSE)),"")</f>
        <v/>
      </c>
      <c r="Q60" s="1288"/>
      <c r="R60" s="1288" t="s">
        <v>1423</v>
      </c>
      <c r="S60" s="998"/>
      <c r="T60" s="998"/>
      <c r="U60" s="998"/>
    </row>
    <row r="61" spans="1:21" ht="16.5" hidden="1" customHeight="1" x14ac:dyDescent="0.2">
      <c r="A61" s="1347"/>
      <c r="B61" s="1347"/>
      <c r="C61" s="1291">
        <v>0</v>
      </c>
      <c r="D61" s="1292"/>
      <c r="E61" s="1291">
        <v>0</v>
      </c>
      <c r="F61" s="1292"/>
      <c r="G61" s="1293">
        <f t="shared" si="4"/>
        <v>0</v>
      </c>
      <c r="H61" s="1294"/>
      <c r="I61" s="1302"/>
      <c r="J61" s="1292"/>
      <c r="K61" s="1292"/>
      <c r="L61" s="1302"/>
      <c r="M61" s="1293">
        <f t="shared" si="5"/>
        <v>0</v>
      </c>
      <c r="N61" s="1303"/>
      <c r="O61" s="1302"/>
      <c r="P61" s="1287" t="str">
        <f>IFERROR(IF(VLOOKUP(A61,'Reference Records'!$B$12:$D$25,3,FALSE)=0,"",VLOOKUP(A61,'Reference Records'!$B$12:$D$25,3,FALSE)),"")</f>
        <v/>
      </c>
      <c r="Q61" s="1288"/>
      <c r="R61" s="1288" t="s">
        <v>1424</v>
      </c>
      <c r="S61" s="998"/>
      <c r="T61" s="998"/>
      <c r="U61" s="998"/>
    </row>
    <row r="62" spans="1:21" ht="16.5" hidden="1" customHeight="1" x14ac:dyDescent="0.2">
      <c r="A62" s="1347"/>
      <c r="B62" s="1347"/>
      <c r="C62" s="1291">
        <v>0</v>
      </c>
      <c r="D62" s="1292"/>
      <c r="E62" s="1291">
        <v>0</v>
      </c>
      <c r="F62" s="1292"/>
      <c r="G62" s="1293">
        <f t="shared" si="4"/>
        <v>0</v>
      </c>
      <c r="H62" s="1294"/>
      <c r="I62" s="1302"/>
      <c r="J62" s="1292"/>
      <c r="K62" s="1292"/>
      <c r="L62" s="1302"/>
      <c r="M62" s="1293">
        <f t="shared" si="5"/>
        <v>0</v>
      </c>
      <c r="N62" s="1303"/>
      <c r="O62" s="1302"/>
      <c r="P62" s="1287" t="str">
        <f>IFERROR(IF(VLOOKUP(A62,'Reference Records'!$B$12:$D$25,3,FALSE)=0,"",VLOOKUP(A62,'Reference Records'!$B$12:$D$25,3,FALSE)),"")</f>
        <v/>
      </c>
      <c r="Q62" s="1288"/>
      <c r="R62" s="1288" t="s">
        <v>1425</v>
      </c>
      <c r="S62" s="998"/>
      <c r="T62" s="998"/>
      <c r="U62" s="998"/>
    </row>
    <row r="63" spans="1:21" ht="16.5" hidden="1" customHeight="1" x14ac:dyDescent="0.2">
      <c r="A63" s="1347"/>
      <c r="B63" s="1347"/>
      <c r="C63" s="1291">
        <v>0</v>
      </c>
      <c r="D63" s="1292"/>
      <c r="E63" s="1291">
        <v>0</v>
      </c>
      <c r="F63" s="1292"/>
      <c r="G63" s="1293">
        <f t="shared" si="4"/>
        <v>0</v>
      </c>
      <c r="H63" s="1294"/>
      <c r="I63" s="1302"/>
      <c r="J63" s="1292"/>
      <c r="K63" s="1292"/>
      <c r="L63" s="1302"/>
      <c r="M63" s="1293">
        <f t="shared" si="5"/>
        <v>0</v>
      </c>
      <c r="N63" s="1303"/>
      <c r="O63" s="1302"/>
      <c r="P63" s="1287" t="str">
        <f>IFERROR(IF(VLOOKUP(A63,'Reference Records'!$B$12:$D$25,3,FALSE)=0,"",VLOOKUP(A63,'Reference Records'!$B$12:$D$25,3,FALSE)),"")</f>
        <v/>
      </c>
      <c r="Q63" s="1288"/>
      <c r="R63" s="1288" t="s">
        <v>1426</v>
      </c>
      <c r="S63" s="998"/>
      <c r="T63" s="998"/>
      <c r="U63" s="998"/>
    </row>
    <row r="64" spans="1:21" ht="16.5" hidden="1" customHeight="1" x14ac:dyDescent="0.2">
      <c r="A64" s="1347"/>
      <c r="B64" s="1347"/>
      <c r="C64" s="1291">
        <v>0</v>
      </c>
      <c r="D64" s="1292"/>
      <c r="E64" s="1291">
        <v>0</v>
      </c>
      <c r="F64" s="1292"/>
      <c r="G64" s="1293">
        <f t="shared" si="4"/>
        <v>0</v>
      </c>
      <c r="H64" s="1294"/>
      <c r="I64" s="1302"/>
      <c r="J64" s="1292"/>
      <c r="K64" s="1292"/>
      <c r="L64" s="1302"/>
      <c r="M64" s="1293">
        <f t="shared" si="5"/>
        <v>0</v>
      </c>
      <c r="N64" s="1303"/>
      <c r="O64" s="1302"/>
      <c r="P64" s="1287" t="str">
        <f>IFERROR(IF(VLOOKUP(A64,'Reference Records'!$B$12:$D$25,3,FALSE)=0,"",VLOOKUP(A64,'Reference Records'!$B$12:$D$25,3,FALSE)),"")</f>
        <v/>
      </c>
      <c r="Q64" s="1288"/>
      <c r="R64" s="1288" t="s">
        <v>1427</v>
      </c>
      <c r="S64" s="998"/>
      <c r="T64" s="998"/>
      <c r="U64" s="998"/>
    </row>
    <row r="65" spans="1:21" ht="16.5" hidden="1" customHeight="1" x14ac:dyDescent="0.2">
      <c r="A65" s="1347"/>
      <c r="B65" s="1347"/>
      <c r="C65" s="1291">
        <v>0</v>
      </c>
      <c r="D65" s="1292"/>
      <c r="E65" s="1291">
        <v>0</v>
      </c>
      <c r="F65" s="1292"/>
      <c r="G65" s="1293">
        <f t="shared" si="4"/>
        <v>0</v>
      </c>
      <c r="H65" s="1294"/>
      <c r="I65" s="1302"/>
      <c r="J65" s="1292"/>
      <c r="K65" s="1292"/>
      <c r="L65" s="1302"/>
      <c r="M65" s="1293">
        <f t="shared" si="5"/>
        <v>0</v>
      </c>
      <c r="N65" s="1303"/>
      <c r="O65" s="1302"/>
      <c r="P65" s="1287" t="str">
        <f>IFERROR(IF(VLOOKUP(A65,'Reference Records'!$B$12:$D$25,3,FALSE)=0,"",VLOOKUP(A65,'Reference Records'!$B$12:$D$25,3,FALSE)),"")</f>
        <v/>
      </c>
      <c r="Q65" s="1288"/>
      <c r="R65" s="1288" t="s">
        <v>1428</v>
      </c>
      <c r="S65" s="998"/>
      <c r="T65" s="998"/>
      <c r="U65" s="998"/>
    </row>
    <row r="66" spans="1:21" hidden="1" x14ac:dyDescent="0.2">
      <c r="P66" s="996"/>
      <c r="Q66" s="998"/>
      <c r="R66" s="998"/>
      <c r="S66" s="998"/>
      <c r="T66" s="998"/>
      <c r="U66" s="998"/>
    </row>
    <row r="67" spans="1:21" ht="25.5" customHeight="1" x14ac:dyDescent="0.2">
      <c r="A67" s="784" t="s">
        <v>86</v>
      </c>
      <c r="B67" s="784"/>
      <c r="C67" s="779">
        <f>ROUND(SUM(C29:C66),2)</f>
        <v>3812424.48</v>
      </c>
      <c r="D67" s="779">
        <f>ROUND(SUM(D29:D66),2)</f>
        <v>4865885.2300000004</v>
      </c>
      <c r="E67" s="779">
        <f>ROUND(SUM(E29:E66),2)</f>
        <v>1517766.75</v>
      </c>
      <c r="F67" s="779">
        <f>ROUND(SUM(F29:F66),2)</f>
        <v>515541.47</v>
      </c>
      <c r="G67" s="779">
        <f>ROUND(SUM(G29:G66),2)</f>
        <v>5381426.7000000002</v>
      </c>
      <c r="H67" s="780"/>
      <c r="J67" s="779">
        <f>ROUND(SUM(J29:J66),2)</f>
        <v>0</v>
      </c>
      <c r="K67" s="779">
        <f>ROUND(SUM(K29:K66),2)</f>
        <v>0</v>
      </c>
      <c r="L67" s="779">
        <f>ROUND(SUM(L29:L39),2)</f>
        <v>0</v>
      </c>
      <c r="M67" s="779">
        <f>ROUND(SUM(M29:M66),2)</f>
        <v>0</v>
      </c>
      <c r="N67" s="780"/>
      <c r="P67" s="996"/>
      <c r="Q67" s="998"/>
      <c r="R67" s="998"/>
      <c r="S67" s="998"/>
      <c r="T67" s="998"/>
      <c r="U67" s="998"/>
    </row>
    <row r="68" spans="1:21" ht="18" x14ac:dyDescent="0.2">
      <c r="A68" s="988"/>
      <c r="B68" s="742"/>
      <c r="C68" s="742"/>
      <c r="D68" s="742"/>
      <c r="E68" s="742"/>
      <c r="F68" s="742"/>
      <c r="G68" s="742"/>
      <c r="H68" s="742"/>
      <c r="P68" s="996"/>
      <c r="Q68" s="998"/>
      <c r="R68" s="998"/>
      <c r="S68" s="998"/>
      <c r="T68" s="998"/>
      <c r="U68" s="998"/>
    </row>
    <row r="69" spans="1:21" ht="17.25" customHeight="1" x14ac:dyDescent="0.2">
      <c r="A69" s="113" t="s">
        <v>579</v>
      </c>
      <c r="B69" s="113"/>
      <c r="C69" s="110"/>
      <c r="D69" s="110"/>
      <c r="E69" s="110"/>
      <c r="F69" s="111"/>
      <c r="G69" s="112"/>
      <c r="H69" s="112"/>
      <c r="I69" s="148"/>
      <c r="J69" s="112"/>
      <c r="K69" s="112"/>
      <c r="L69" s="112"/>
      <c r="M69" s="112"/>
      <c r="N69" s="112"/>
      <c r="P69" s="996"/>
      <c r="Q69" s="998"/>
      <c r="R69" s="998"/>
      <c r="S69" s="998"/>
      <c r="T69" s="998"/>
      <c r="U69" s="998"/>
    </row>
    <row r="70" spans="1:21" ht="75" customHeight="1" x14ac:dyDescent="0.2">
      <c r="A70" s="1259" t="s">
        <v>402</v>
      </c>
      <c r="B70" s="1304"/>
      <c r="C70" s="521" t="s">
        <v>185</v>
      </c>
      <c r="D70" s="521" t="s">
        <v>420</v>
      </c>
      <c r="E70" s="521" t="s">
        <v>139</v>
      </c>
      <c r="F70" s="521" t="s">
        <v>421</v>
      </c>
      <c r="G70" s="521" t="s">
        <v>150</v>
      </c>
      <c r="H70" s="521" t="s">
        <v>27</v>
      </c>
      <c r="I70" s="1302"/>
      <c r="J70" s="1285" t="s">
        <v>422</v>
      </c>
      <c r="K70" s="1285" t="s">
        <v>423</v>
      </c>
      <c r="L70" s="1285"/>
      <c r="M70" s="1285" t="s">
        <v>151</v>
      </c>
      <c r="N70" s="1285" t="s">
        <v>27</v>
      </c>
      <c r="O70" s="1298"/>
      <c r="P70" s="1287" t="s">
        <v>356</v>
      </c>
      <c r="Q70" s="998"/>
      <c r="R70" s="998"/>
      <c r="S70" s="998"/>
      <c r="T70" s="998"/>
      <c r="U70" s="998"/>
    </row>
    <row r="71" spans="1:21" ht="17.25" hidden="1" customHeight="1" x14ac:dyDescent="0.2">
      <c r="A71" s="1289" t="s">
        <v>415</v>
      </c>
      <c r="B71" s="1305"/>
      <c r="C71" s="1291" t="s">
        <v>491</v>
      </c>
      <c r="D71" s="1292" t="s">
        <v>492</v>
      </c>
      <c r="E71" s="1291" t="s">
        <v>493</v>
      </c>
      <c r="F71" s="1292" t="s">
        <v>494</v>
      </c>
      <c r="G71" s="1293" t="str">
        <f>IFERROR(D71+F71,"")</f>
        <v/>
      </c>
      <c r="H71" s="1294" t="s">
        <v>495</v>
      </c>
      <c r="I71" s="1302"/>
      <c r="J71" s="1292" t="s">
        <v>496</v>
      </c>
      <c r="K71" s="1292" t="s">
        <v>497</v>
      </c>
      <c r="L71" s="1292"/>
      <c r="M71" s="1293" t="str">
        <f>IFERROR(J71+K71,"")</f>
        <v/>
      </c>
      <c r="N71" s="1303" t="s">
        <v>498</v>
      </c>
      <c r="O71" s="1298"/>
      <c r="P71" s="1287" t="s">
        <v>355</v>
      </c>
      <c r="Q71" s="998"/>
      <c r="R71" s="998"/>
      <c r="S71" s="998"/>
      <c r="T71" s="998"/>
      <c r="U71" s="998"/>
    </row>
    <row r="72" spans="1:21" ht="17.25" customHeight="1" x14ac:dyDescent="0.2">
      <c r="A72" s="1289" t="s">
        <v>1084</v>
      </c>
      <c r="B72" s="1305"/>
      <c r="C72" s="1291">
        <v>2668706.5717564002</v>
      </c>
      <c r="D72" s="1294">
        <v>4004730.0579171064</v>
      </c>
      <c r="E72" s="1291">
        <v>1230671.5012081999</v>
      </c>
      <c r="F72" s="1292">
        <v>393117.5055197195</v>
      </c>
      <c r="G72" s="1293">
        <f>IFERROR(D72+F72,"")</f>
        <v>4397847.5634368258</v>
      </c>
      <c r="H72" s="1294"/>
      <c r="I72" s="1302"/>
      <c r="J72" s="1292"/>
      <c r="K72" s="1292"/>
      <c r="L72" s="1292"/>
      <c r="M72" s="1293">
        <f>IFERROR(J72+K72,"")</f>
        <v>0</v>
      </c>
      <c r="N72" s="1303"/>
      <c r="O72" s="1298"/>
      <c r="P72" s="1287" t="s">
        <v>1156</v>
      </c>
      <c r="Q72" s="998"/>
      <c r="R72" s="998"/>
      <c r="S72" s="998"/>
      <c r="T72" s="998"/>
      <c r="U72" s="998"/>
    </row>
    <row r="73" spans="1:21" ht="17.25" customHeight="1" x14ac:dyDescent="0.2">
      <c r="A73" s="1289" t="s">
        <v>1087</v>
      </c>
      <c r="B73" s="1305"/>
      <c r="C73" s="1291">
        <v>539197.1029084</v>
      </c>
      <c r="D73" s="1292">
        <v>521634.36717598711</v>
      </c>
      <c r="E73" s="1291">
        <v>287095.25129719998</v>
      </c>
      <c r="F73" s="1292">
        <v>122423.96228754494</v>
      </c>
      <c r="G73" s="1293">
        <f>IFERROR(D73+F73,"")</f>
        <v>644058.32946353208</v>
      </c>
      <c r="H73" s="1294"/>
      <c r="I73" s="1302"/>
      <c r="J73" s="1292"/>
      <c r="K73" s="1292"/>
      <c r="L73" s="1292"/>
      <c r="M73" s="1293">
        <f>IFERROR(J73+K73,"")</f>
        <v>0</v>
      </c>
      <c r="N73" s="1303"/>
      <c r="O73" s="1298"/>
      <c r="P73" s="1287" t="s">
        <v>1157</v>
      </c>
      <c r="Q73" s="998"/>
      <c r="R73" s="998"/>
      <c r="S73" s="998"/>
      <c r="T73" s="998"/>
      <c r="U73" s="998"/>
    </row>
    <row r="74" spans="1:21" ht="17.25" customHeight="1" x14ac:dyDescent="0.2">
      <c r="A74" s="1289" t="s">
        <v>1089</v>
      </c>
      <c r="B74" s="1305"/>
      <c r="C74" s="1291">
        <v>604520.80764999997</v>
      </c>
      <c r="D74" s="1292">
        <v>339520.80769836786</v>
      </c>
      <c r="E74" s="1291">
        <v>0</v>
      </c>
      <c r="F74" s="1292">
        <v>0</v>
      </c>
      <c r="G74" s="1293">
        <f>IFERROR(D74+F74,"")</f>
        <v>339520.80769836786</v>
      </c>
      <c r="H74" s="1294"/>
      <c r="I74" s="1302"/>
      <c r="J74" s="1292"/>
      <c r="K74" s="1292"/>
      <c r="L74" s="1292"/>
      <c r="M74" s="1293">
        <f>IFERROR(J74+K74,"")</f>
        <v>0</v>
      </c>
      <c r="N74" s="1303"/>
      <c r="O74" s="1298"/>
      <c r="P74" s="1287" t="s">
        <v>1158</v>
      </c>
      <c r="Q74" s="998"/>
      <c r="R74" s="998"/>
      <c r="S74" s="998"/>
      <c r="T74" s="998"/>
      <c r="U74" s="998"/>
    </row>
    <row r="75" spans="1:21" ht="21" hidden="1" customHeight="1" x14ac:dyDescent="0.2">
      <c r="P75" s="996"/>
      <c r="Q75" s="998"/>
      <c r="R75" s="998"/>
      <c r="S75" s="998"/>
      <c r="T75" s="998"/>
      <c r="U75" s="998"/>
    </row>
    <row r="76" spans="1:21" ht="27.75" customHeight="1" thickBot="1" x14ac:dyDescent="0.25">
      <c r="A76" s="789" t="s">
        <v>86</v>
      </c>
      <c r="B76" s="789"/>
      <c r="C76" s="790">
        <f>ROUND(SUM(C71:C75),2)</f>
        <v>3812424.48</v>
      </c>
      <c r="D76" s="790">
        <f>ROUND(SUM(D71:D75),2)</f>
        <v>4865885.2300000004</v>
      </c>
      <c r="E76" s="790">
        <f>ROUND(SUM(E71:E75),2)</f>
        <v>1517766.75</v>
      </c>
      <c r="F76" s="790">
        <f>ROUND(SUM(F71:F75),2)</f>
        <v>515541.47</v>
      </c>
      <c r="G76" s="790">
        <f>ROUND(SUM(G71:G75),2)</f>
        <v>5381426.7000000002</v>
      </c>
      <c r="H76" s="791"/>
      <c r="J76" s="779">
        <f>ROUND(SUM(J71:J75),2)</f>
        <v>0</v>
      </c>
      <c r="K76" s="779">
        <f>ROUND(SUM(K71:K75),2)</f>
        <v>0</v>
      </c>
      <c r="L76" s="779">
        <f>ROUND(SUM(L70:L71),2)</f>
        <v>0</v>
      </c>
      <c r="M76" s="779">
        <f>ROUND(SUM(M71:M75),2)</f>
        <v>0</v>
      </c>
      <c r="N76" s="780"/>
      <c r="P76" s="996"/>
      <c r="Q76" s="998"/>
      <c r="R76" s="998"/>
      <c r="S76" s="998"/>
      <c r="T76" s="998"/>
      <c r="U76" s="998"/>
    </row>
    <row r="77" spans="1:21" ht="30" customHeight="1" x14ac:dyDescent="0.2">
      <c r="P77" s="996"/>
      <c r="Q77" s="998"/>
      <c r="R77" s="998"/>
      <c r="S77" s="998"/>
      <c r="T77" s="998"/>
      <c r="U77" s="998"/>
    </row>
    <row r="78" spans="1:21" ht="66.599999999999994" customHeight="1" x14ac:dyDescent="0.2">
      <c r="A78" s="943" t="s">
        <v>89</v>
      </c>
      <c r="C78" s="935" t="str">
        <f>IF(AND(ROUND(C24,0)=ROUND(C67,0),ROUND(C67,0)=ROUND(C76,0)),"OK","WARNING - Sum of the three tables not matching")</f>
        <v>OK</v>
      </c>
      <c r="D78" s="935" t="str">
        <f>IF(AND(ROUND(D24,0)=ROUND(D67,0),ROUND(D67,0)=ROUND(D76,0)),"OK","WARNING - Sum of the three tables not matching")</f>
        <v>OK</v>
      </c>
      <c r="E78" s="935" t="str">
        <f>IF(AND(ROUND(E24,0)=ROUND(E67,0),ROUND(E67,0)=ROUND(E76,0)),"OK","WARNING - Sum of the three tables not matching")</f>
        <v>OK</v>
      </c>
      <c r="F78" s="935" t="str">
        <f>IF(AND(ROUND(F24,0)=ROUND(F67,0),ROUND(F67,0)=ROUND(F76,0)),"OK","WARNING - Sum of the three tables not matching")</f>
        <v>OK</v>
      </c>
      <c r="G78" s="935" t="str">
        <f>IF(AND(ROUND(G24,0)=ROUND(G67,0),ROUND(G67,0)=ROUND(G76,0)),"OK","WARNING - Sum of the three tables not matching")</f>
        <v>OK</v>
      </c>
      <c r="H78" s="936"/>
      <c r="I78" s="937"/>
      <c r="J78" s="935" t="str">
        <f>IF(AND(ROUND(J24,0)=ROUND(J67,0),ROUND(J67,0)=ROUND(J76,0)),"OK","WARNING - Sum of the three tables not matching")</f>
        <v>OK</v>
      </c>
      <c r="K78" s="935" t="str">
        <f>IF(AND(ROUND(K24,0)=ROUND(K67,0),ROUND(K67,0)=ROUND(K76,0)),"OK","WARNING - Sum of the three tables not matching")</f>
        <v>OK</v>
      </c>
      <c r="L78" s="935" t="str">
        <f>IF(AND(ROUND(L24,0)=ROUND(L67,0),ROUND(L67,0)=ROUND(L76,0)),"OK","WARNING - Sum of the three tables not matching")</f>
        <v>OK</v>
      </c>
      <c r="M78" s="935" t="str">
        <f>IF(AND(ROUND(M24,0)=ROUND(M67,0),ROUND(M67,0)=ROUND(M76,0)),"OK","WARNING - Sum of the three tables not matching")</f>
        <v>OK</v>
      </c>
    </row>
    <row r="83" spans="1:19" s="742" customFormat="1" ht="18" x14ac:dyDescent="0.25">
      <c r="A83" s="113" t="s">
        <v>424</v>
      </c>
      <c r="B83" s="774"/>
      <c r="C83" s="774"/>
      <c r="D83" s="751"/>
      <c r="E83" s="751"/>
      <c r="F83" s="751"/>
      <c r="G83" s="751"/>
      <c r="H83" s="751"/>
      <c r="I83" s="751"/>
      <c r="J83" s="751"/>
      <c r="K83" s="741"/>
      <c r="L83" s="741"/>
      <c r="O83" s="745"/>
      <c r="P83" s="985"/>
      <c r="Q83" s="745"/>
      <c r="R83" s="745"/>
      <c r="S83" s="745"/>
    </row>
    <row r="84" spans="1:19" s="742" customFormat="1" ht="21.75" customHeight="1" x14ac:dyDescent="0.2">
      <c r="A84" s="775"/>
      <c r="B84" s="808" t="s">
        <v>425</v>
      </c>
      <c r="C84" s="776" t="str">
        <f>IFERROR(VLOOKUP(1,CashForecastADMIN!D12:E19,2,0),"")</f>
        <v>01/Jan/2018-31/Mar/2018</v>
      </c>
      <c r="D84" s="776" t="str">
        <f>IFERROR(VLOOKUP(2,CashForecastADMIN!D12:E19,2,0),"")</f>
        <v>01/Apr/2018-30/Jun/2018</v>
      </c>
      <c r="E84" s="776" t="str">
        <f>IFERROR(VLOOKUP(3,CashForecastADMIN!D12:E19,2,0),"")</f>
        <v>01/Jul/2018-30/Sep/2018</v>
      </c>
      <c r="F84" s="776" t="str">
        <f>IFERROR(VLOOKUP(4,CashForecastADMIN!D12:E19,2,0),"")</f>
        <v>01/Oct/2018-31/Dec/2018</v>
      </c>
      <c r="G84" s="776" t="s">
        <v>60</v>
      </c>
      <c r="H84" s="776" t="str">
        <f>IFERROR(VLOOKUP(1,CashForecastADMIN!D21:E26,2,0),"")</f>
        <v>01/Jan/2019-31/Mar/2019</v>
      </c>
      <c r="I84" s="776" t="str">
        <f>IFERROR(VLOOKUP(2,CashForecastADMIN!D21:E26,2,0),"")</f>
        <v>01/Apr/2019-30/Jun/2019</v>
      </c>
      <c r="J84" s="776" t="s">
        <v>60</v>
      </c>
      <c r="K84" s="777"/>
      <c r="L84" s="741"/>
      <c r="O84" s="745"/>
      <c r="P84" s="985"/>
      <c r="Q84" s="745"/>
      <c r="R84" s="745"/>
      <c r="S84" s="745"/>
    </row>
    <row r="85" spans="1:19" s="742" customFormat="1" ht="19.5" hidden="1" customHeight="1" x14ac:dyDescent="0.2">
      <c r="A85" s="778"/>
      <c r="B85" s="1316" t="s">
        <v>519</v>
      </c>
      <c r="C85" s="1317" t="s">
        <v>508</v>
      </c>
      <c r="D85" s="1317" t="s">
        <v>510</v>
      </c>
      <c r="E85" s="1317" t="s">
        <v>512</v>
      </c>
      <c r="F85" s="1317" t="s">
        <v>514</v>
      </c>
      <c r="G85" s="1317"/>
      <c r="H85" s="1317" t="s">
        <v>516</v>
      </c>
      <c r="I85" s="1317" t="s">
        <v>518</v>
      </c>
      <c r="J85" s="1293">
        <f t="shared" ref="J85:J92" si="6">SUM(H85:I85)</f>
        <v>0</v>
      </c>
      <c r="K85" s="1318">
        <f>G85+J85</f>
        <v>0</v>
      </c>
      <c r="L85" s="1319" t="s">
        <v>356</v>
      </c>
      <c r="O85" s="745"/>
      <c r="P85" s="985"/>
      <c r="Q85" s="745"/>
      <c r="R85" s="745"/>
      <c r="S85" s="745"/>
    </row>
    <row r="86" spans="1:19" s="742" customFormat="1" ht="24.75" hidden="1" customHeight="1" x14ac:dyDescent="0.2">
      <c r="A86" s="775"/>
      <c r="B86" s="1320" t="s">
        <v>505</v>
      </c>
      <c r="C86" s="1293" t="s">
        <v>507</v>
      </c>
      <c r="D86" s="1293" t="s">
        <v>509</v>
      </c>
      <c r="E86" s="1293" t="s">
        <v>511</v>
      </c>
      <c r="F86" s="1293" t="s">
        <v>513</v>
      </c>
      <c r="G86" s="1293">
        <f t="shared" ref="G86:G92" si="7">SUM(C86:F86)</f>
        <v>0</v>
      </c>
      <c r="H86" s="1293" t="s">
        <v>515</v>
      </c>
      <c r="I86" s="1293" t="s">
        <v>517</v>
      </c>
      <c r="J86" s="1293">
        <f t="shared" si="6"/>
        <v>0</v>
      </c>
      <c r="K86" s="1318">
        <f>G86+J86</f>
        <v>0</v>
      </c>
      <c r="L86" s="1319" t="s">
        <v>355</v>
      </c>
      <c r="O86" s="745"/>
      <c r="P86" s="985"/>
      <c r="Q86" s="745"/>
      <c r="R86" s="745"/>
      <c r="S86" s="745"/>
    </row>
    <row r="87" spans="1:19" s="742" customFormat="1" ht="24.75" customHeight="1" x14ac:dyDescent="0.2">
      <c r="A87" s="775"/>
      <c r="B87" s="1320" t="s">
        <v>426</v>
      </c>
      <c r="C87" s="1293">
        <v>705914.63008669997</v>
      </c>
      <c r="D87" s="1293">
        <v>1524545.7024447001</v>
      </c>
      <c r="E87" s="1293">
        <v>1108922.3782796999</v>
      </c>
      <c r="F87" s="1293">
        <v>473041.7715037</v>
      </c>
      <c r="G87" s="1293">
        <f t="shared" si="7"/>
        <v>3812424.4823147999</v>
      </c>
      <c r="H87" s="1293">
        <v>515541.46779620001</v>
      </c>
      <c r="I87" s="1293">
        <v>1002225.2847092</v>
      </c>
      <c r="J87" s="1293">
        <f t="shared" si="6"/>
        <v>1517766.7525054</v>
      </c>
      <c r="K87" s="1318">
        <f>G87+J87</f>
        <v>5330191.2348202001</v>
      </c>
      <c r="L87" s="1319" t="s">
        <v>1159</v>
      </c>
      <c r="O87" s="745"/>
      <c r="P87" s="985"/>
      <c r="Q87" s="745"/>
      <c r="R87" s="745"/>
      <c r="S87" s="745"/>
    </row>
    <row r="88" spans="1:19" s="742" customFormat="1" ht="21.75" hidden="1" customHeight="1" x14ac:dyDescent="0.2">
      <c r="A88" s="809"/>
      <c r="B88" s="1321"/>
      <c r="C88" s="1322"/>
      <c r="D88" s="1322"/>
      <c r="E88" s="1322"/>
      <c r="F88" s="1322"/>
      <c r="G88" s="1293">
        <f t="shared" si="7"/>
        <v>0</v>
      </c>
      <c r="H88" s="1322"/>
      <c r="I88" s="1322"/>
      <c r="J88" s="1293">
        <f t="shared" si="6"/>
        <v>0</v>
      </c>
      <c r="K88" s="1318">
        <f>G88+J88</f>
        <v>0</v>
      </c>
      <c r="L88" s="1319"/>
      <c r="O88" s="745"/>
      <c r="P88" s="985"/>
      <c r="Q88" s="745"/>
      <c r="R88" s="745"/>
      <c r="S88" s="745"/>
    </row>
    <row r="89" spans="1:19" s="742" customFormat="1" ht="16.5" hidden="1" customHeight="1" x14ac:dyDescent="0.2">
      <c r="A89" s="1707" t="s">
        <v>70</v>
      </c>
      <c r="B89" s="1320" t="s">
        <v>505</v>
      </c>
      <c r="C89" s="1303" t="s">
        <v>507</v>
      </c>
      <c r="D89" s="1303" t="s">
        <v>509</v>
      </c>
      <c r="E89" s="1303" t="s">
        <v>511</v>
      </c>
      <c r="F89" s="1303" t="s">
        <v>513</v>
      </c>
      <c r="G89" s="1293">
        <f t="shared" si="7"/>
        <v>0</v>
      </c>
      <c r="H89" s="1303" t="s">
        <v>515</v>
      </c>
      <c r="I89" s="1303" t="s">
        <v>517</v>
      </c>
      <c r="J89" s="1293">
        <f t="shared" si="6"/>
        <v>0</v>
      </c>
      <c r="K89" s="1302"/>
      <c r="L89" s="1319" t="s">
        <v>355</v>
      </c>
      <c r="O89" s="745"/>
      <c r="P89" s="985"/>
      <c r="Q89" s="745"/>
      <c r="R89" s="745"/>
      <c r="S89" s="745"/>
    </row>
    <row r="90" spans="1:19" s="742" customFormat="1" ht="16.5" customHeight="1" x14ac:dyDescent="0.2">
      <c r="A90" s="1707"/>
      <c r="B90" s="1320" t="s">
        <v>428</v>
      </c>
      <c r="C90" s="1303"/>
      <c r="D90" s="1303"/>
      <c r="E90" s="1303">
        <v>339520.80769836786</v>
      </c>
      <c r="F90" s="1303"/>
      <c r="G90" s="1293">
        <f t="shared" si="7"/>
        <v>339520.80769836786</v>
      </c>
      <c r="H90" s="1303">
        <v>0</v>
      </c>
      <c r="I90" s="1303">
        <v>0</v>
      </c>
      <c r="J90" s="1293">
        <f t="shared" si="6"/>
        <v>0</v>
      </c>
      <c r="K90" s="1302"/>
      <c r="L90" s="1319" t="s">
        <v>1160</v>
      </c>
      <c r="O90" s="745"/>
      <c r="P90" s="985"/>
      <c r="Q90" s="745"/>
      <c r="R90" s="745"/>
      <c r="S90" s="745"/>
    </row>
    <row r="91" spans="1:19" s="742" customFormat="1" ht="16.5" customHeight="1" x14ac:dyDescent="0.2">
      <c r="A91" s="1707"/>
      <c r="B91" s="1320" t="s">
        <v>427</v>
      </c>
      <c r="C91" s="1303">
        <v>285703.19782844884</v>
      </c>
      <c r="D91" s="1303">
        <v>1362751.414428236</v>
      </c>
      <c r="E91" s="1303">
        <v>1734639.7182754413</v>
      </c>
      <c r="F91" s="1303">
        <v>1143270.0945609675</v>
      </c>
      <c r="G91" s="1293">
        <f t="shared" si="7"/>
        <v>4526364.4250930939</v>
      </c>
      <c r="H91" s="1303">
        <v>515541.46780726442</v>
      </c>
      <c r="I91" s="1303">
        <v>0</v>
      </c>
      <c r="J91" s="1293">
        <f t="shared" si="6"/>
        <v>515541.46780726442</v>
      </c>
      <c r="K91" s="1302"/>
      <c r="L91" s="1319" t="s">
        <v>1161</v>
      </c>
      <c r="O91" s="745"/>
      <c r="P91" s="985"/>
      <c r="Q91" s="745"/>
      <c r="R91" s="745"/>
      <c r="S91" s="745"/>
    </row>
    <row r="92" spans="1:19" s="742" customFormat="1" ht="16.5" customHeight="1" x14ac:dyDescent="0.2">
      <c r="A92" s="1707"/>
      <c r="B92" s="1320" t="s">
        <v>583</v>
      </c>
      <c r="C92" s="1303">
        <v>0</v>
      </c>
      <c r="D92" s="1303">
        <v>0</v>
      </c>
      <c r="E92" s="1303">
        <v>0</v>
      </c>
      <c r="F92" s="1303">
        <v>0</v>
      </c>
      <c r="G92" s="1293">
        <f t="shared" si="7"/>
        <v>0</v>
      </c>
      <c r="H92" s="1303">
        <v>0</v>
      </c>
      <c r="I92" s="1303">
        <v>0</v>
      </c>
      <c r="J92" s="1293">
        <f t="shared" si="6"/>
        <v>0</v>
      </c>
      <c r="K92" s="1302"/>
      <c r="L92" s="1319" t="s">
        <v>1162</v>
      </c>
      <c r="O92" s="745"/>
      <c r="P92" s="985"/>
      <c r="Q92" s="745"/>
      <c r="R92" s="745"/>
      <c r="S92" s="745"/>
    </row>
    <row r="93" spans="1:19" s="742" customFormat="1" ht="13.5" hidden="1" customHeight="1" x14ac:dyDescent="0.2">
      <c r="A93" s="1707"/>
      <c r="B93" s="810"/>
      <c r="C93" s="781"/>
      <c r="D93" s="781"/>
      <c r="E93" s="781"/>
      <c r="F93" s="781"/>
      <c r="G93" s="781"/>
      <c r="H93" s="781"/>
      <c r="I93" s="781"/>
      <c r="J93" s="781"/>
      <c r="K93" s="777"/>
      <c r="L93" s="773"/>
      <c r="O93" s="745"/>
      <c r="P93" s="985"/>
      <c r="Q93" s="745"/>
      <c r="R93" s="745"/>
      <c r="S93" s="745"/>
    </row>
    <row r="94" spans="1:19" s="742" customFormat="1" x14ac:dyDescent="0.2">
      <c r="A94" s="1707"/>
      <c r="B94" s="811" t="s">
        <v>60</v>
      </c>
      <c r="C94" s="779">
        <f>ROUND(SUM(C88:C93),2)</f>
        <v>285703.2</v>
      </c>
      <c r="D94" s="779">
        <f>ROUND(SUM(D88:D93),2)</f>
        <v>1362751.41</v>
      </c>
      <c r="E94" s="779">
        <f>ROUND(SUM(E88:E93),2)</f>
        <v>2074160.53</v>
      </c>
      <c r="F94" s="779">
        <f>ROUND(SUM(F88:F93),2)</f>
        <v>1143270.0900000001</v>
      </c>
      <c r="G94" s="779">
        <f>ROUND(SUM(C94:F94),2)</f>
        <v>4865885.2300000004</v>
      </c>
      <c r="H94" s="779">
        <f>ROUND(SUM(H88:H93),2)</f>
        <v>515541.47</v>
      </c>
      <c r="I94" s="779">
        <f>ROUND(SUM(I88:I93),2)</f>
        <v>0</v>
      </c>
      <c r="J94" s="779">
        <f>ROUND(SUM(H94:I94),2)</f>
        <v>515541.47</v>
      </c>
      <c r="K94" s="779">
        <f>G94+J94</f>
        <v>5381426.7000000002</v>
      </c>
      <c r="L94" s="773"/>
      <c r="O94" s="745"/>
      <c r="P94" s="985"/>
      <c r="Q94" s="745"/>
      <c r="R94" s="745"/>
      <c r="S94" s="745"/>
    </row>
    <row r="95" spans="1:19" s="742" customFormat="1" ht="26.45" hidden="1" customHeight="1" x14ac:dyDescent="0.2">
      <c r="A95" s="782"/>
      <c r="B95" s="1321" t="s">
        <v>506</v>
      </c>
      <c r="C95" s="1322" t="s">
        <v>508</v>
      </c>
      <c r="D95" s="1322" t="s">
        <v>510</v>
      </c>
      <c r="E95" s="1322" t="s">
        <v>512</v>
      </c>
      <c r="F95" s="1322" t="s">
        <v>514</v>
      </c>
      <c r="G95" s="1318">
        <f>SUM(C95:F95)</f>
        <v>0</v>
      </c>
      <c r="H95" s="1322" t="s">
        <v>516</v>
      </c>
      <c r="I95" s="1322" t="s">
        <v>518</v>
      </c>
      <c r="J95" s="1318">
        <f>SUM(H95:I95)</f>
        <v>0</v>
      </c>
      <c r="K95" s="1318">
        <f>G95+J95</f>
        <v>0</v>
      </c>
      <c r="L95" s="1319" t="s">
        <v>356</v>
      </c>
      <c r="O95" s="745"/>
      <c r="P95" s="985"/>
      <c r="Q95" s="745"/>
      <c r="R95" s="745"/>
      <c r="S95" s="745"/>
    </row>
    <row r="96" spans="1:19" s="742" customFormat="1" ht="26.45" hidden="1" customHeight="1" x14ac:dyDescent="0.2">
      <c r="A96" s="1708" t="s">
        <v>429</v>
      </c>
      <c r="B96" s="1320" t="s">
        <v>505</v>
      </c>
      <c r="C96" s="1303" t="s">
        <v>507</v>
      </c>
      <c r="D96" s="1303" t="s">
        <v>509</v>
      </c>
      <c r="E96" s="1303" t="s">
        <v>511</v>
      </c>
      <c r="F96" s="1303" t="s">
        <v>513</v>
      </c>
      <c r="G96" s="1318">
        <f>SUM(C96:F96)</f>
        <v>0</v>
      </c>
      <c r="H96" s="1303" t="s">
        <v>515</v>
      </c>
      <c r="I96" s="1303" t="s">
        <v>517</v>
      </c>
      <c r="J96" s="1318">
        <f>SUM(H96:I96)</f>
        <v>0</v>
      </c>
      <c r="K96" s="1302"/>
      <c r="L96" s="1319" t="s">
        <v>355</v>
      </c>
      <c r="O96" s="745"/>
      <c r="P96" s="985"/>
      <c r="Q96" s="745"/>
      <c r="R96" s="745"/>
      <c r="S96" s="745"/>
    </row>
    <row r="97" spans="1:19" s="742" customFormat="1" ht="26.45" customHeight="1" x14ac:dyDescent="0.2">
      <c r="A97" s="1708"/>
      <c r="B97" s="1320" t="s">
        <v>428</v>
      </c>
      <c r="C97" s="1303">
        <v>0</v>
      </c>
      <c r="D97" s="1303">
        <v>0</v>
      </c>
      <c r="E97" s="1303">
        <v>0</v>
      </c>
      <c r="F97" s="1303">
        <v>0</v>
      </c>
      <c r="G97" s="1318">
        <f>SUM(C97:F97)</f>
        <v>0</v>
      </c>
      <c r="H97" s="1303">
        <v>0</v>
      </c>
      <c r="I97" s="1303">
        <v>0</v>
      </c>
      <c r="J97" s="1318">
        <f>SUM(H97:I97)</f>
        <v>0</v>
      </c>
      <c r="K97" s="1302"/>
      <c r="L97" s="1319" t="s">
        <v>1163</v>
      </c>
      <c r="O97" s="745"/>
      <c r="P97" s="985"/>
      <c r="Q97" s="745"/>
      <c r="R97" s="745"/>
      <c r="S97" s="745"/>
    </row>
    <row r="98" spans="1:19" s="742" customFormat="1" ht="26.45" customHeight="1" x14ac:dyDescent="0.2">
      <c r="A98" s="1708"/>
      <c r="B98" s="1320" t="s">
        <v>427</v>
      </c>
      <c r="C98" s="1303">
        <v>0</v>
      </c>
      <c r="D98" s="1303">
        <v>0</v>
      </c>
      <c r="E98" s="1303">
        <v>0</v>
      </c>
      <c r="F98" s="1303">
        <v>0</v>
      </c>
      <c r="G98" s="1318">
        <f>SUM(C98:F98)</f>
        <v>0</v>
      </c>
      <c r="H98" s="1303">
        <v>0</v>
      </c>
      <c r="I98" s="1303">
        <v>0</v>
      </c>
      <c r="J98" s="1318">
        <f>SUM(H98:I98)</f>
        <v>0</v>
      </c>
      <c r="K98" s="1302"/>
      <c r="L98" s="1319" t="s">
        <v>1164</v>
      </c>
      <c r="O98" s="745"/>
      <c r="P98" s="985"/>
      <c r="Q98" s="745"/>
      <c r="R98" s="745"/>
      <c r="S98" s="745"/>
    </row>
    <row r="99" spans="1:19" s="742" customFormat="1" ht="26.45" customHeight="1" x14ac:dyDescent="0.2">
      <c r="A99" s="1708"/>
      <c r="B99" s="1320" t="s">
        <v>583</v>
      </c>
      <c r="C99" s="1303">
        <v>0</v>
      </c>
      <c r="D99" s="1303">
        <v>0</v>
      </c>
      <c r="E99" s="1303">
        <v>0</v>
      </c>
      <c r="F99" s="1303">
        <v>0</v>
      </c>
      <c r="G99" s="1318">
        <f>SUM(C99:F99)</f>
        <v>0</v>
      </c>
      <c r="H99" s="1303">
        <v>0</v>
      </c>
      <c r="I99" s="1303">
        <v>0</v>
      </c>
      <c r="J99" s="1318">
        <f>SUM(H99:I99)</f>
        <v>0</v>
      </c>
      <c r="K99" s="1302"/>
      <c r="L99" s="1319" t="s">
        <v>1165</v>
      </c>
      <c r="O99" s="745"/>
      <c r="P99" s="985"/>
      <c r="Q99" s="745"/>
      <c r="R99" s="745"/>
      <c r="S99" s="745"/>
    </row>
    <row r="100" spans="1:19" s="742" customFormat="1" ht="14.45" customHeight="1" x14ac:dyDescent="0.2">
      <c r="A100" s="1708"/>
      <c r="B100" s="810"/>
      <c r="C100" s="781"/>
      <c r="D100" s="781"/>
      <c r="E100" s="781"/>
      <c r="F100" s="781"/>
      <c r="G100" s="781"/>
      <c r="H100" s="781"/>
      <c r="I100" s="781"/>
      <c r="J100" s="781"/>
      <c r="K100" s="777"/>
      <c r="O100" s="745"/>
      <c r="P100" s="985"/>
      <c r="Q100" s="745"/>
      <c r="R100" s="745"/>
      <c r="S100" s="745"/>
    </row>
    <row r="101" spans="1:19" s="742" customFormat="1" x14ac:dyDescent="0.2">
      <c r="A101" s="1708"/>
      <c r="B101" s="811" t="s">
        <v>60</v>
      </c>
      <c r="C101" s="779">
        <f>ROUND(SUM(C95:C100),2)</f>
        <v>0</v>
      </c>
      <c r="D101" s="779">
        <f>ROUND(SUM(D95:D100),2)</f>
        <v>0</v>
      </c>
      <c r="E101" s="779">
        <f>ROUND(SUM(E95:E100),2)</f>
        <v>0</v>
      </c>
      <c r="F101" s="779">
        <f>ROUND(SUM(F95:F100),2)</f>
        <v>0</v>
      </c>
      <c r="G101" s="779">
        <f>ROUND(SUM(C101:F101),2)</f>
        <v>0</v>
      </c>
      <c r="H101" s="779">
        <f>ROUND(SUM(H95:H100),2)</f>
        <v>0</v>
      </c>
      <c r="I101" s="779">
        <f>ROUND(SUM(I95:I100),2)</f>
        <v>0</v>
      </c>
      <c r="J101" s="779">
        <f>ROUND(SUM(H101:I101),2)</f>
        <v>0</v>
      </c>
      <c r="K101" s="779">
        <f>G101+J101</f>
        <v>0</v>
      </c>
      <c r="O101" s="745"/>
      <c r="P101" s="985"/>
      <c r="Q101" s="745"/>
      <c r="R101" s="745"/>
      <c r="S101" s="745"/>
    </row>
    <row r="102" spans="1:19" s="742" customFormat="1" x14ac:dyDescent="0.2">
      <c r="A102" s="745"/>
      <c r="B102" s="743"/>
      <c r="C102" s="743"/>
      <c r="D102" s="743"/>
      <c r="E102" s="743"/>
      <c r="F102" s="743"/>
      <c r="G102" s="743"/>
      <c r="H102" s="743"/>
      <c r="I102" s="741"/>
      <c r="J102" s="741"/>
      <c r="K102" s="741"/>
      <c r="O102" s="745"/>
      <c r="P102" s="985"/>
      <c r="Q102" s="745"/>
      <c r="R102" s="745"/>
      <c r="S102" s="745"/>
    </row>
    <row r="103" spans="1:19" x14ac:dyDescent="0.2">
      <c r="I103" s="743"/>
      <c r="J103" s="743"/>
      <c r="K103" s="743"/>
      <c r="L103" s="743"/>
      <c r="M103" s="743"/>
      <c r="N103" s="743"/>
    </row>
    <row r="104" spans="1:19" s="742" customFormat="1" ht="62.25" customHeight="1" x14ac:dyDescent="0.2">
      <c r="A104" s="933" t="s">
        <v>430</v>
      </c>
      <c r="B104" s="743"/>
      <c r="C104" s="743"/>
      <c r="D104" s="743"/>
      <c r="E104" s="743"/>
      <c r="F104" s="743"/>
      <c r="G104" s="935" t="str">
        <f>IF(AND(ROUND(D24,0)=ROUND(D67,0),ROUND(D67,0)=ROUND(D76,0),ROUND(D76,0)=ROUND(G94,0)),"OK","WARNING - Sum of the three tables not matching")</f>
        <v>OK</v>
      </c>
      <c r="H104" s="936"/>
      <c r="I104" s="937"/>
      <c r="J104" s="935" t="str">
        <f>IF(AND(ROUND(F24,0)=ROUND(F67,0),ROUND(F67,0)=ROUND(F76,0),ROUND(F76,0)=ROUND(J94,0)),"OK","WARNING - Sum of the three tables not matching")</f>
        <v>OK</v>
      </c>
      <c r="K104" s="741"/>
      <c r="L104" s="741"/>
      <c r="O104" s="745"/>
      <c r="P104" s="985"/>
      <c r="Q104" s="745"/>
      <c r="R104" s="745"/>
      <c r="S104" s="745"/>
    </row>
    <row r="106" spans="1:19" s="743" customFormat="1" ht="62.25" customHeight="1" x14ac:dyDescent="0.2">
      <c r="A106" s="945" t="s">
        <v>551</v>
      </c>
      <c r="G106" s="935" t="str">
        <f>IF(AND(ROUND(J24,0)=ROUND(J67,0),ROUND(J67,0)=ROUND(J76,0),ROUND(J76,0)=ROUND(G101,0)),"OK","WARNING - Sum of the three tables not matching")</f>
        <v>OK</v>
      </c>
      <c r="I106" s="741"/>
      <c r="J106" s="935" t="str">
        <f>IF(AND(ROUND(K24,0)=ROUND(K67,0),ROUND(K67,0)=ROUND(K76,0),ROUND(K76,0)=ROUND(J101,0)),"OK","WARNING - Sum of the three tables not matching")</f>
        <v>OK</v>
      </c>
      <c r="K106" s="741"/>
      <c r="L106" s="741"/>
      <c r="M106" s="742"/>
      <c r="N106" s="742"/>
      <c r="O106" s="745"/>
      <c r="P106" s="985"/>
      <c r="Q106" s="745"/>
      <c r="R106" s="745"/>
      <c r="S106" s="745"/>
    </row>
    <row r="113" spans="3:19" s="743" customFormat="1" x14ac:dyDescent="0.2">
      <c r="C113" s="898" t="s">
        <v>431</v>
      </c>
      <c r="I113" s="741"/>
      <c r="J113" s="741"/>
      <c r="K113" s="741"/>
      <c r="L113" s="741"/>
      <c r="M113" s="742"/>
      <c r="N113" s="742"/>
      <c r="O113" s="745"/>
      <c r="P113" s="985"/>
      <c r="Q113" s="745"/>
      <c r="R113" s="745"/>
      <c r="S113" s="745"/>
    </row>
    <row r="121" spans="3:19" x14ac:dyDescent="0.2">
      <c r="I121" s="743"/>
      <c r="J121" s="743"/>
      <c r="K121" s="743"/>
      <c r="L121" s="743"/>
      <c r="M121" s="743"/>
      <c r="N121" s="743"/>
    </row>
    <row r="122" spans="3:19" x14ac:dyDescent="0.2">
      <c r="I122" s="743"/>
      <c r="J122" s="743"/>
      <c r="K122" s="743"/>
      <c r="L122" s="743"/>
      <c r="M122" s="743"/>
      <c r="N122" s="743"/>
    </row>
    <row r="123" spans="3:19" x14ac:dyDescent="0.2">
      <c r="I123" s="743"/>
      <c r="J123" s="743"/>
      <c r="K123" s="743"/>
      <c r="L123" s="743"/>
      <c r="M123" s="743"/>
      <c r="N123" s="743"/>
    </row>
    <row r="129" spans="2:13" x14ac:dyDescent="0.2">
      <c r="I129" s="743"/>
      <c r="J129" s="743"/>
      <c r="K129" s="743"/>
      <c r="L129" s="743"/>
      <c r="M129" s="743"/>
    </row>
    <row r="130" spans="2:13" x14ac:dyDescent="0.2">
      <c r="I130" s="743"/>
      <c r="J130" s="743"/>
      <c r="K130" s="743"/>
      <c r="L130" s="743"/>
      <c r="M130" s="743"/>
    </row>
    <row r="131" spans="2:13" x14ac:dyDescent="0.2">
      <c r="K131" s="901"/>
      <c r="L131" s="899"/>
      <c r="M131" s="899"/>
    </row>
    <row r="132" spans="2:13" x14ac:dyDescent="0.2">
      <c r="K132" s="901"/>
      <c r="L132" s="899"/>
      <c r="M132" s="899"/>
    </row>
    <row r="133" spans="2:13" x14ac:dyDescent="0.2">
      <c r="K133" s="901"/>
      <c r="L133" s="899"/>
      <c r="M133" s="899"/>
    </row>
    <row r="134" spans="2:13" x14ac:dyDescent="0.2">
      <c r="K134" s="901"/>
      <c r="L134" s="899"/>
      <c r="M134" s="899"/>
    </row>
    <row r="135" spans="2:13" x14ac:dyDescent="0.2">
      <c r="K135" s="901"/>
      <c r="L135" s="899"/>
      <c r="M135" s="899"/>
    </row>
    <row r="136" spans="2:13" x14ac:dyDescent="0.2">
      <c r="K136" s="901"/>
      <c r="L136" s="899"/>
      <c r="M136" s="899"/>
    </row>
    <row r="137" spans="2:13" x14ac:dyDescent="0.2">
      <c r="K137" s="901"/>
      <c r="L137" s="899"/>
      <c r="M137" s="899"/>
    </row>
    <row r="138" spans="2:13" x14ac:dyDescent="0.2">
      <c r="B138" s="900"/>
      <c r="C138" s="900"/>
      <c r="D138" s="900"/>
      <c r="E138" s="900"/>
      <c r="F138" s="900"/>
      <c r="G138" s="900"/>
      <c r="H138" s="900"/>
      <c r="I138" s="900"/>
      <c r="J138" s="900"/>
      <c r="K138" s="900"/>
      <c r="L138" s="899"/>
      <c r="M138" s="899"/>
    </row>
    <row r="139" spans="2:13" x14ac:dyDescent="0.2">
      <c r="I139" s="743"/>
      <c r="J139" s="743"/>
      <c r="K139" s="743"/>
      <c r="L139" s="743"/>
      <c r="M139" s="743"/>
    </row>
  </sheetData>
  <sheetProtection algorithmName="SHA-512" hashValue="6d1+y2qMmFSGIYVc9nNxB2f7eYZWM084GQ7QhMy5hSrs+q++lWKo6EbrzEX1yUD7eeVmwvePfDHBZUmAbc9Fmw==" saltValue="zlg/bsVueb9KYfw9d+Ek3A==" spinCount="100000" sheet="1" objects="1" scenarios="1" formatColumns="0" formatRows="0" sort="0" autoFilter="0"/>
  <autoFilter ref="A39:R65"/>
  <mergeCells count="6">
    <mergeCell ref="K4:M4"/>
    <mergeCell ref="A1:I1"/>
    <mergeCell ref="A89:A94"/>
    <mergeCell ref="A96:A101"/>
    <mergeCell ref="C3:F3"/>
    <mergeCell ref="C4:F4"/>
  </mergeCells>
  <conditionalFormatting sqref="H24 J29:N39">
    <cfRule type="expression" dxfId="52" priority="38">
      <formula>ISERROR(H24)</formula>
    </cfRule>
  </conditionalFormatting>
  <conditionalFormatting sqref="N24">
    <cfRule type="expression" dxfId="51" priority="36">
      <formula>ISERROR(N24)</formula>
    </cfRule>
  </conditionalFormatting>
  <conditionalFormatting sqref="N9:N22">
    <cfRule type="expression" dxfId="50" priority="37">
      <formula>ISERROR(N9)</formula>
    </cfRule>
  </conditionalFormatting>
  <conditionalFormatting sqref="J9:J22">
    <cfRule type="expression" dxfId="49" priority="35">
      <formula>ISERROR(J9)</formula>
    </cfRule>
  </conditionalFormatting>
  <conditionalFormatting sqref="H67">
    <cfRule type="expression" dxfId="48" priority="34">
      <formula>ISERROR(H67)</formula>
    </cfRule>
  </conditionalFormatting>
  <conditionalFormatting sqref="N67">
    <cfRule type="expression" dxfId="47" priority="33">
      <formula>ISERROR(N67)</formula>
    </cfRule>
  </conditionalFormatting>
  <conditionalFormatting sqref="N76">
    <cfRule type="expression" dxfId="46" priority="31">
      <formula>ISERROR(N76)</formula>
    </cfRule>
  </conditionalFormatting>
  <conditionalFormatting sqref="H76">
    <cfRule type="expression" dxfId="45" priority="30">
      <formula>ISERROR(H76)</formula>
    </cfRule>
  </conditionalFormatting>
  <conditionalFormatting sqref="C78:G78">
    <cfRule type="expression" dxfId="44" priority="29">
      <formula>C78="WARNING - Sum of the three tables not matching"</formula>
    </cfRule>
  </conditionalFormatting>
  <conditionalFormatting sqref="J78:M78">
    <cfRule type="expression" dxfId="43" priority="28">
      <formula>J78="WARNING - Sum of the three tables not matching"</formula>
    </cfRule>
  </conditionalFormatting>
  <conditionalFormatting sqref="C89:F92 H89:I92">
    <cfRule type="expression" dxfId="42" priority="25">
      <formula>ISERROR(C89)</formula>
    </cfRule>
  </conditionalFormatting>
  <conditionalFormatting sqref="C96:F99 H96:I99">
    <cfRule type="expression" dxfId="41" priority="24">
      <formula>ISERROR(C96)</formula>
    </cfRule>
  </conditionalFormatting>
  <conditionalFormatting sqref="J104">
    <cfRule type="expression" dxfId="40" priority="22">
      <formula>J104="WARNING - Sum of the three tables not matching"</formula>
    </cfRule>
  </conditionalFormatting>
  <conditionalFormatting sqref="G104">
    <cfRule type="expression" dxfId="39" priority="23">
      <formula>G104="WARNING - Sum of the three tables not matching"</formula>
    </cfRule>
  </conditionalFormatting>
  <conditionalFormatting sqref="H84:I101 K9:K24 F9:F24 K29:K39 K67 F29:F39 F67 K76 F76">
    <cfRule type="expression" dxfId="38" priority="18">
      <formula>($G$4)="N/A"</formula>
    </cfRule>
  </conditionalFormatting>
  <conditionalFormatting sqref="J106">
    <cfRule type="expression" dxfId="37" priority="17">
      <formula>J106="WARNING - Sum of the three tables not matching"</formula>
    </cfRule>
  </conditionalFormatting>
  <conditionalFormatting sqref="G106">
    <cfRule type="expression" dxfId="36" priority="16">
      <formula>G106="WARNING - Sum of the three tables not matching"</formula>
    </cfRule>
  </conditionalFormatting>
  <conditionalFormatting sqref="F40:F65">
    <cfRule type="expression" dxfId="35" priority="14">
      <formula>($G$4)="N/A"</formula>
    </cfRule>
  </conditionalFormatting>
  <conditionalFormatting sqref="M40:M65">
    <cfRule type="expression" dxfId="34" priority="12">
      <formula>ISERROR(M40)</formula>
    </cfRule>
  </conditionalFormatting>
  <conditionalFormatting sqref="N40:N65">
    <cfRule type="expression" dxfId="33" priority="10">
      <formula>ISERROR(N40)</formula>
    </cfRule>
  </conditionalFormatting>
  <conditionalFormatting sqref="J40:K65">
    <cfRule type="expression" dxfId="32" priority="9">
      <formula>ISERROR(J40)</formula>
    </cfRule>
  </conditionalFormatting>
  <conditionalFormatting sqref="K40:K65">
    <cfRule type="expression" dxfId="31" priority="7">
      <formula>($G$4)="N/A"</formula>
    </cfRule>
  </conditionalFormatting>
  <conditionalFormatting sqref="J71:N74">
    <cfRule type="expression" dxfId="30" priority="3">
      <formula>ISERROR(J71)</formula>
    </cfRule>
  </conditionalFormatting>
  <conditionalFormatting sqref="K71:K74 F71:F74">
    <cfRule type="expression" dxfId="29" priority="1">
      <formula>($G$4)="N/A"</formula>
    </cfRule>
  </conditionalFormatting>
  <dataValidations count="17">
    <dataValidation type="list" allowBlank="1" showInputMessage="1" showErrorMessage="1" sqref="N4">
      <formula1>"Select,Yes,No"</formula1>
    </dataValidation>
    <dataValidation type="list" allowBlank="1" showInputMessage="1" showErrorMessage="1" sqref="A40:A65">
      <formula1>Module_List</formula1>
    </dataValidation>
    <dataValidation type="list" allowBlank="1" showInputMessage="1" showErrorMessage="1" sqref="B40:B65">
      <formula1>OFFSET(ModuleStart,MATCH(P40,ModuleColumn,0)-1,3,COUNTIF(ModuleColumn,P40),1)</formula1>
    </dataValidation>
    <dataValidation type="decimal" allowBlank="1" showInputMessage="1" showErrorMessage="1" errorTitle="X-Author for Excel" error="Please enter a valid numeric value. Valid range for Budget for Forecast Period is -9999999999.99 to 9999999999.99." promptTitle="X-Author for Excel" sqref="C9:C22 C29:C38 C71:C74 C40:C65">
      <formula1>-9999999999.99</formula1>
      <formula2>9999999999.99</formula2>
    </dataValidation>
    <dataValidation type="decimal" allowBlank="1" showInputMessage="1" showErrorMessage="1" errorTitle="X-Author for Excel" error="Please enter a valid numeric value. Valid range for PR Forecast for the period is -9999999999.99 to 9999999999.99." promptTitle="X-Author for Excel" sqref="D9:D22 D29:D38 D71:D74 D40:D65">
      <formula1>-9999999999.99</formula1>
      <formula2>9999999999.99</formula2>
    </dataValidation>
    <dataValidation type="decimal" allowBlank="1" showInputMessage="1" showErrorMessage="1" errorTitle="X-Author for Excel" error="Please enter a valid numeric value. Valid range for Budget for the Buffer Period is -9999999999.99 to 9999999999.99." promptTitle="X-Author for Excel" sqref="E9:E22 E29:E38 E71:E74 E40:E65">
      <formula1>-9999999999.99</formula1>
      <formula2>9999999999.99</formula2>
    </dataValidation>
    <dataValidation type="decimal" allowBlank="1" showInputMessage="1" showErrorMessage="1" errorTitle="X-Author for Excel" error="Please enter a valid numeric value. Valid range for PR Forecast for the Buffer Period is -9999999999.99 to 9999999999.99." promptTitle="X-Author for Excel" sqref="F9:F22 F29:F38 F71:F74 F40:F65">
      <formula1>-9999999999.99</formula1>
      <formula2>9999999999.99</formula2>
    </dataValidation>
    <dataValidation type="decimal" allowBlank="1" showInputMessage="1" showErrorMessage="1" errorTitle="X-Author for Excel" error="Please enter a valid numeric value. Valid range for LFA Adjusted Forecast for the period is -9999999999.99 to 9999999999.99." promptTitle="X-Author for Excel" sqref="J9:J22 J29:J38 J71:J74 J40:J65">
      <formula1>-9999999999.99</formula1>
      <formula2>9999999999.99</formula2>
    </dataValidation>
    <dataValidation type="decimal" allowBlank="1" showInputMessage="1" showErrorMessage="1" errorTitle="X-Author for Excel" error="Please enter a valid numeric value. Valid range for LFA Adj. Forecast for the Buffer period is -9999999999.99 to 9999999999.99." promptTitle="X-Author for Excel" sqref="K9:K22 K29:K38 K71:K74 K40:K65">
      <formula1>-9999999999.99</formula1>
      <formula2>9999999999.99</formula2>
    </dataValidation>
    <dataValidation type="custom" allowBlank="1" showInputMessage="1" showErrorMessage="1" errorTitle="X-Author for Excel" error="Id and Lookup fields are not editable." promptTitle="X-Author for Excel" sqref="P9:P22 P29:P38 P71:P74 L86:L87 L89:L92 L96:L99 R40:R65">
      <formula1>""</formula1>
    </dataValidation>
    <dataValidation type="decimal" allowBlank="1" showInputMessage="1" showErrorMessage="1" errorTitle="X-Author for Excel" error="Please enter a valid numeric value. Valid range for Cost Grouping Number is -99999 to 99999." promptTitle="X-Author for Excel" sqref="Q9:Q22">
      <formula1>-99999</formula1>
      <formula2>99999</formula2>
    </dataValidation>
    <dataValidation type="decimal" allowBlank="1" showInputMessage="1" showErrorMessage="1" errorTitle="X-Author for Excel" error="Please enter a valid numeric value. Valid range for Forecast Q1 is -9999999999.99 to 9999999999.99." promptTitle="X-Author for Excel" sqref="C86:C87 C89:C92 C96:C99">
      <formula1>-9999999999.99</formula1>
      <formula2>9999999999.99</formula2>
    </dataValidation>
    <dataValidation type="decimal" allowBlank="1" showInputMessage="1" showErrorMessage="1" errorTitle="X-Author for Excel" error="Please enter a valid numeric value. Valid range for Forecast Q2 is -9999999999.99 to 9999999999.99." promptTitle="X-Author for Excel" sqref="D86:D87 D89:D92 D96:D99">
      <formula1>-9999999999.99</formula1>
      <formula2>9999999999.99</formula2>
    </dataValidation>
    <dataValidation type="decimal" allowBlank="1" showInputMessage="1" showErrorMessage="1" errorTitle="X-Author for Excel" error="Please enter a valid numeric value. Valid range for Forecast Q3 is -9999999999.99 to 9999999999.99." promptTitle="X-Author for Excel" sqref="E86:E87 E89:E92 E96:E99">
      <formula1>-9999999999.99</formula1>
      <formula2>9999999999.99</formula2>
    </dataValidation>
    <dataValidation type="decimal" allowBlank="1" showInputMessage="1" showErrorMessage="1" errorTitle="X-Author for Excel" error="Please enter a valid numeric value. Valid range for Forecast Q4 is -9999999999.99 to 9999999999.99." promptTitle="X-Author for Excel" sqref="F86:F87 F89:F92 F96:F99">
      <formula1>-9999999999.99</formula1>
      <formula2>9999999999.99</formula2>
    </dataValidation>
    <dataValidation type="decimal" allowBlank="1" showInputMessage="1" showErrorMessage="1" errorTitle="X-Author for Excel" error="Please enter a valid numeric value. Valid range for Buffer Q1 is -9999999999.99 to 9999999999.99." promptTitle="X-Author for Excel" sqref="H86:H87 H89:H92 H96:H99">
      <formula1>-9999999999.99</formula1>
      <formula2>9999999999.99</formula2>
    </dataValidation>
    <dataValidation type="decimal" allowBlank="1" showInputMessage="1" showErrorMessage="1" errorTitle="X-Author for Excel" error="Please enter a valid numeric value. Valid range for Buffer Q2 is -9999999999.99 to 9999999999.99." promptTitle="X-Author for Excel" sqref="I86:I87 I89:I92 I96:I99">
      <formula1>-9999999999.99</formula1>
      <formula2>9999999999.99</formula2>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1" id="{E9F33B69-37AC-4161-9714-DD1FBB9187A1}">
            <xm:f>CoverSheet!$D$11="EUR"</xm:f>
            <x14:dxf>
              <numFmt numFmtId="187" formatCode="[$€-2]\ #,##0.00;[Red]\-[$€-2]\ #,##0.00"/>
            </x14:dxf>
          </x14:cfRule>
          <xm:sqref>C101:K101 C94:K94 K95 J67:M67 C67:G67 C76:G76 J76:M76 C9:G24 J9:M24 C29:G30 J29:M39 C85:K92 C95:J99 C32:G39 C31 E31:G31</xm:sqref>
        </x14:conditionalFormatting>
        <x14:conditionalFormatting xmlns:xm="http://schemas.microsoft.com/office/excel/2006/main">
          <x14:cfRule type="expression" priority="15" id="{FFA631D3-1BE1-4606-821C-DA93B31DA022}">
            <xm:f>CoverSheet!$D$11="EUR"</xm:f>
            <x14:dxf>
              <numFmt numFmtId="187" formatCode="[$€-2]\ #,##0.00;[Red]\-[$€-2]\ #,##0.00"/>
            </x14:dxf>
          </x14:cfRule>
          <xm:sqref>C40:F65</xm:sqref>
        </x14:conditionalFormatting>
        <x14:conditionalFormatting xmlns:xm="http://schemas.microsoft.com/office/excel/2006/main">
          <x14:cfRule type="expression" priority="13" id="{34FC11D3-86F6-40C9-9ECF-C147D8F87512}">
            <xm:f>CoverSheet!$D$11="EUR"</xm:f>
            <x14:dxf>
              <numFmt numFmtId="187" formatCode="[$€-2]\ #,##0.00;[Red]\-[$€-2]\ #,##0.00"/>
            </x14:dxf>
          </x14:cfRule>
          <xm:sqref>G40:G65</xm:sqref>
        </x14:conditionalFormatting>
        <x14:conditionalFormatting xmlns:xm="http://schemas.microsoft.com/office/excel/2006/main">
          <x14:cfRule type="expression" priority="11" id="{B961F0A3-D003-40FB-9A2F-CACCBFC4E4CA}">
            <xm:f>CoverSheet!$D$11="EUR"</xm:f>
            <x14:dxf>
              <numFmt numFmtId="187" formatCode="[$€-2]\ #,##0.00;[Red]\-[$€-2]\ #,##0.00"/>
            </x14:dxf>
          </x14:cfRule>
          <xm:sqref>M40:M65</xm:sqref>
        </x14:conditionalFormatting>
        <x14:conditionalFormatting xmlns:xm="http://schemas.microsoft.com/office/excel/2006/main">
          <x14:cfRule type="expression" priority="8" id="{5E4852F7-7447-485B-A6A8-2260A5B37AC9}">
            <xm:f>CoverSheet!$D$11="EUR"</xm:f>
            <x14:dxf>
              <numFmt numFmtId="187" formatCode="[$€-2]\ #,##0.00;[Red]\-[$€-2]\ #,##0.00"/>
            </x14:dxf>
          </x14:cfRule>
          <xm:sqref>J40:K65</xm:sqref>
        </x14:conditionalFormatting>
        <x14:conditionalFormatting xmlns:xm="http://schemas.microsoft.com/office/excel/2006/main">
          <x14:cfRule type="expression" priority="2" id="{AF22E361-CCFB-4C4E-AC9F-7834E703A270}">
            <xm:f>CoverSheet!$D$11="EUR"</xm:f>
            <x14:dxf>
              <numFmt numFmtId="187" formatCode="[$€-2]\ #,##0.00;[Red]\-[$€-2]\ #,##0.00"/>
            </x14:dxf>
          </x14:cfRule>
          <xm:sqref>C71:G71 J71:M74 C73:G74 C72 E72:G72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3FAF01"/>
  </sheetPr>
  <dimension ref="A1:AO121"/>
  <sheetViews>
    <sheetView zoomScale="70" zoomScaleNormal="70" zoomScaleSheetLayoutView="70" workbookViewId="0">
      <selection activeCell="B43" sqref="B43"/>
    </sheetView>
  </sheetViews>
  <sheetFormatPr defaultColWidth="9.140625" defaultRowHeight="12.75" x14ac:dyDescent="0.2"/>
  <cols>
    <col min="1" max="1" width="46.5703125" style="19" customWidth="1"/>
    <col min="2" max="2" width="15.85546875" style="19" customWidth="1"/>
    <col min="3" max="3" width="18.85546875" style="19" customWidth="1"/>
    <col min="4" max="4" width="18.42578125" style="19" customWidth="1"/>
    <col min="5" max="5" width="16.85546875" style="19" bestFit="1" customWidth="1"/>
    <col min="6" max="6" width="17.140625" style="19" customWidth="1"/>
    <col min="7" max="7" width="1.85546875" style="46" customWidth="1"/>
    <col min="8" max="8" width="17" style="19" customWidth="1"/>
    <col min="9" max="9" width="19.85546875" style="19" customWidth="1"/>
    <col min="10" max="10" width="17.85546875" style="19" customWidth="1"/>
    <col min="11" max="11" width="20.5703125" style="19" customWidth="1"/>
    <col min="12" max="12" width="13.140625" style="19" customWidth="1"/>
    <col min="13" max="21" width="9.140625" style="19"/>
    <col min="22" max="33" width="8.85546875" style="122" customWidth="1"/>
    <col min="34" max="16384" width="9.140625" style="19"/>
  </cols>
  <sheetData>
    <row r="1" spans="1:41" ht="25.5" customHeight="1" x14ac:dyDescent="0.35">
      <c r="A1" s="1687" t="s">
        <v>580</v>
      </c>
      <c r="B1" s="1687"/>
      <c r="C1" s="1687"/>
      <c r="D1" s="1687"/>
      <c r="E1" s="1687"/>
      <c r="F1" s="1687"/>
      <c r="G1" s="1687"/>
      <c r="H1" s="1687"/>
      <c r="I1" s="1687"/>
      <c r="J1" s="1687"/>
      <c r="K1" s="1687"/>
      <c r="L1" s="1687"/>
      <c r="M1" s="1687"/>
      <c r="N1" s="1687"/>
      <c r="O1" s="1687"/>
      <c r="P1" s="1687"/>
      <c r="Q1" s="1687"/>
      <c r="R1" s="1687"/>
      <c r="S1" s="122"/>
      <c r="T1" s="122"/>
      <c r="U1" s="122"/>
      <c r="Y1" s="1"/>
      <c r="Z1" s="1"/>
      <c r="AA1" s="1"/>
      <c r="AB1" s="1"/>
      <c r="AC1" s="1"/>
      <c r="AD1" s="1"/>
      <c r="AE1" s="1"/>
      <c r="AF1" s="1"/>
      <c r="AG1" s="1"/>
      <c r="AH1" s="1"/>
      <c r="AI1" s="1"/>
      <c r="AJ1" s="1"/>
      <c r="AK1" s="122"/>
      <c r="AL1" s="122"/>
      <c r="AM1" s="122"/>
      <c r="AN1" s="122"/>
      <c r="AO1" s="122"/>
    </row>
    <row r="2" spans="1:41" ht="13.5" thickBot="1" x14ac:dyDescent="0.25">
      <c r="A2" s="122"/>
      <c r="B2" s="122"/>
      <c r="C2" s="122"/>
      <c r="D2" s="122"/>
      <c r="E2" s="122"/>
      <c r="F2" s="122"/>
      <c r="G2" s="3"/>
      <c r="H2" s="122"/>
      <c r="I2" s="122"/>
      <c r="J2" s="122"/>
      <c r="K2" s="122"/>
      <c r="L2" s="122"/>
      <c r="M2" s="122"/>
      <c r="N2" s="122"/>
      <c r="O2" s="122"/>
      <c r="P2" s="122"/>
      <c r="Q2" s="122"/>
      <c r="R2" s="122"/>
      <c r="S2" s="122"/>
      <c r="T2" s="122"/>
      <c r="U2" s="122"/>
      <c r="Y2" s="1"/>
      <c r="Z2" s="1"/>
      <c r="AA2" s="1"/>
      <c r="AB2" s="1"/>
      <c r="AC2" s="1"/>
      <c r="AD2" s="1"/>
      <c r="AE2" s="1"/>
      <c r="AF2" s="1"/>
      <c r="AG2" s="1"/>
      <c r="AH2" s="1"/>
      <c r="AI2" s="1"/>
      <c r="AJ2" s="1"/>
      <c r="AK2" s="122"/>
      <c r="AL2" s="122"/>
      <c r="AM2" s="122"/>
      <c r="AN2" s="122"/>
      <c r="AO2" s="122"/>
    </row>
    <row r="3" spans="1:41" ht="25.5" customHeight="1" x14ac:dyDescent="0.2">
      <c r="A3" s="1031" t="s">
        <v>187</v>
      </c>
      <c r="B3" s="1032"/>
      <c r="C3" s="1032"/>
      <c r="D3" s="1032"/>
      <c r="E3" s="1727" t="s">
        <v>531</v>
      </c>
      <c r="F3" s="1728"/>
      <c r="G3" s="1728"/>
      <c r="H3" s="1728"/>
      <c r="I3" s="1023">
        <f>'Cash Forecast_8A'!G3</f>
        <v>43101</v>
      </c>
      <c r="J3" s="1024" t="s">
        <v>47</v>
      </c>
      <c r="K3" s="1025"/>
      <c r="L3" s="1026">
        <f>'Cash Forecast_8A'!J3</f>
        <v>43465</v>
      </c>
      <c r="M3" s="1046"/>
      <c r="N3" s="1046"/>
      <c r="O3" s="1046"/>
      <c r="P3" s="1032"/>
      <c r="Q3" s="1032"/>
      <c r="R3" s="1032"/>
      <c r="S3" s="1032"/>
      <c r="T3" s="1032"/>
      <c r="U3" s="1032"/>
      <c r="V3" s="1032"/>
      <c r="W3" s="1032"/>
      <c r="X3" s="1033"/>
      <c r="Y3" s="1"/>
      <c r="Z3" s="1"/>
      <c r="AA3" s="1"/>
      <c r="AB3" s="1"/>
      <c r="AC3" s="1"/>
      <c r="AD3" s="1"/>
      <c r="AE3" s="1"/>
      <c r="AF3" s="1"/>
      <c r="AG3" s="1"/>
      <c r="AH3" s="1"/>
      <c r="AI3" s="1"/>
      <c r="AJ3" s="1"/>
      <c r="AK3" s="1"/>
      <c r="AL3" s="1"/>
      <c r="AM3" s="1"/>
      <c r="AN3" s="1"/>
      <c r="AO3" s="1"/>
    </row>
    <row r="4" spans="1:41" ht="27.75" customHeight="1" thickBot="1" x14ac:dyDescent="0.25">
      <c r="A4" s="1117"/>
      <c r="B4" s="1118"/>
      <c r="C4" s="1118"/>
      <c r="D4" s="1118"/>
      <c r="E4" s="1729" t="s">
        <v>530</v>
      </c>
      <c r="F4" s="1730"/>
      <c r="G4" s="1730"/>
      <c r="H4" s="1730"/>
      <c r="I4" s="1027">
        <f>'Cash Forecast_8A'!G4</f>
        <v>43466</v>
      </c>
      <c r="J4" s="1028" t="s">
        <v>47</v>
      </c>
      <c r="K4" s="1029"/>
      <c r="L4" s="1030">
        <f>'Cash Forecast_8A'!J4</f>
        <v>43646</v>
      </c>
      <c r="M4" s="1027"/>
      <c r="N4" s="1027"/>
      <c r="O4" s="1027"/>
      <c r="P4" s="1118"/>
      <c r="Q4" s="1118"/>
      <c r="R4" s="1118"/>
      <c r="S4" s="1118"/>
      <c r="T4" s="1118"/>
      <c r="U4" s="1118"/>
      <c r="V4" s="1118"/>
      <c r="W4" s="1118"/>
      <c r="X4" s="1119"/>
      <c r="Y4" s="1"/>
      <c r="Z4" s="1"/>
      <c r="AA4" s="1"/>
      <c r="AB4" s="1"/>
      <c r="AC4" s="1"/>
      <c r="AD4" s="1"/>
      <c r="AE4" s="1"/>
      <c r="AF4" s="1"/>
      <c r="AG4" s="1"/>
      <c r="AH4" s="1"/>
      <c r="AI4" s="1"/>
      <c r="AJ4" s="1"/>
      <c r="AK4" s="1"/>
      <c r="AL4" s="1"/>
      <c r="AM4" s="1"/>
      <c r="AN4" s="1"/>
      <c r="AO4" s="1"/>
    </row>
    <row r="5" spans="1:41" ht="18" x14ac:dyDescent="0.25">
      <c r="A5" s="1120" t="s">
        <v>109</v>
      </c>
      <c r="B5" s="1121"/>
      <c r="C5" s="1121"/>
      <c r="D5" s="1121"/>
      <c r="E5" s="1121"/>
      <c r="F5" s="1121"/>
      <c r="G5" s="1121"/>
      <c r="H5" s="1121"/>
      <c r="I5" s="1121"/>
      <c r="J5" s="46"/>
      <c r="K5" s="122"/>
      <c r="L5" s="122"/>
      <c r="M5" s="122"/>
      <c r="N5" s="122"/>
      <c r="O5" s="122"/>
      <c r="P5" s="122"/>
      <c r="Q5" s="122"/>
      <c r="R5" s="122"/>
      <c r="S5" s="122"/>
      <c r="T5" s="122"/>
      <c r="U5" s="122"/>
      <c r="Y5" s="1"/>
      <c r="Z5" s="1"/>
      <c r="AA5" s="1"/>
      <c r="AB5" s="1"/>
      <c r="AC5" s="1"/>
      <c r="AD5" s="1"/>
      <c r="AE5" s="1"/>
      <c r="AF5" s="1"/>
      <c r="AG5" s="1"/>
      <c r="AH5" s="1"/>
      <c r="AI5" s="1"/>
      <c r="AJ5" s="1"/>
      <c r="AK5" s="1"/>
      <c r="AL5" s="1"/>
      <c r="AM5" s="1"/>
      <c r="AN5" s="1"/>
      <c r="AO5" s="1"/>
    </row>
    <row r="6" spans="1:41" x14ac:dyDescent="0.2">
      <c r="A6" s="122"/>
      <c r="B6" s="122"/>
      <c r="C6" s="122"/>
      <c r="D6" s="122"/>
      <c r="E6" s="122"/>
      <c r="F6" s="122"/>
      <c r="G6" s="3"/>
      <c r="H6" s="122"/>
      <c r="I6" s="122"/>
      <c r="J6" s="122"/>
      <c r="K6" s="122"/>
      <c r="L6" s="122"/>
      <c r="M6" s="122"/>
      <c r="N6" s="122"/>
      <c r="O6" s="122"/>
      <c r="P6" s="122"/>
      <c r="Q6" s="122"/>
      <c r="R6" s="122"/>
      <c r="S6" s="122"/>
      <c r="T6" s="122"/>
      <c r="U6" s="122"/>
      <c r="Y6" s="1"/>
      <c r="Z6" s="1"/>
      <c r="AA6" s="1"/>
      <c r="AB6" s="1"/>
      <c r="AC6" s="1"/>
      <c r="AD6" s="1"/>
      <c r="AE6" s="1"/>
      <c r="AF6" s="1"/>
      <c r="AG6" s="1"/>
      <c r="AH6" s="1"/>
      <c r="AI6" s="1"/>
      <c r="AJ6" s="1"/>
      <c r="AK6" s="1"/>
      <c r="AL6" s="1"/>
      <c r="AM6" s="1"/>
      <c r="AN6" s="1"/>
      <c r="AO6" s="1"/>
    </row>
    <row r="7" spans="1:41" ht="26.1" customHeight="1" x14ac:dyDescent="0.2">
      <c r="A7" s="1725" t="s">
        <v>432</v>
      </c>
      <c r="B7" s="1725"/>
      <c r="C7" s="1725"/>
      <c r="D7" s="1725"/>
      <c r="E7" s="1725"/>
      <c r="F7" s="1725"/>
      <c r="G7" s="1725"/>
      <c r="H7" s="1725"/>
      <c r="I7" s="1725"/>
      <c r="J7" s="1725"/>
      <c r="K7" s="1725"/>
      <c r="L7" s="1725"/>
      <c r="M7" s="1725"/>
      <c r="N7" s="1725"/>
      <c r="O7" s="1725"/>
      <c r="P7" s="1725"/>
      <c r="Q7" s="1725"/>
      <c r="R7" s="1725"/>
      <c r="S7" s="1725"/>
      <c r="T7" s="1725"/>
      <c r="U7" s="1725"/>
      <c r="V7" s="1725"/>
      <c r="W7" s="1725"/>
      <c r="X7" s="1725"/>
      <c r="Y7" s="1"/>
      <c r="Z7" s="1"/>
      <c r="AA7" s="1"/>
      <c r="AB7" s="1"/>
      <c r="AC7" s="1"/>
      <c r="AD7" s="1"/>
      <c r="AE7" s="1"/>
      <c r="AF7" s="1"/>
      <c r="AG7" s="1"/>
      <c r="AH7" s="1"/>
      <c r="AI7" s="1"/>
      <c r="AJ7" s="1"/>
      <c r="AK7" s="1"/>
      <c r="AL7" s="1"/>
      <c r="AM7" s="1"/>
      <c r="AN7" s="1"/>
      <c r="AO7" s="1"/>
    </row>
    <row r="8" spans="1:41" ht="80.099999999999994" customHeight="1" x14ac:dyDescent="0.2">
      <c r="A8" s="122"/>
      <c r="B8" s="1122"/>
      <c r="C8" s="1122"/>
      <c r="D8" s="1122"/>
      <c r="E8" s="1122"/>
      <c r="F8" s="1122"/>
      <c r="G8" s="1123"/>
      <c r="H8" s="1122"/>
      <c r="I8" s="1122"/>
      <c r="J8" s="1122"/>
      <c r="K8" s="122"/>
      <c r="L8" s="122"/>
      <c r="M8" s="122"/>
      <c r="N8" s="122"/>
      <c r="O8" s="122"/>
      <c r="P8" s="1723" t="s">
        <v>433</v>
      </c>
      <c r="Q8" s="1723"/>
      <c r="R8" s="1723"/>
      <c r="S8" s="1723"/>
      <c r="T8" s="1723"/>
      <c r="U8" s="1723"/>
      <c r="V8" s="1723"/>
      <c r="W8" s="1723"/>
      <c r="X8" s="1723"/>
      <c r="Y8" s="1"/>
      <c r="Z8" s="1"/>
      <c r="AA8" s="1"/>
      <c r="AB8" s="1"/>
      <c r="AC8" s="1"/>
      <c r="AD8" s="1"/>
      <c r="AE8" s="1"/>
      <c r="AF8" s="1"/>
      <c r="AG8" s="1"/>
      <c r="AH8" s="1"/>
      <c r="AI8" s="1"/>
      <c r="AJ8" s="1"/>
      <c r="AK8" s="1"/>
      <c r="AL8" s="1"/>
      <c r="AM8" s="1"/>
      <c r="AN8" s="1"/>
      <c r="AO8" s="1"/>
    </row>
    <row r="9" spans="1:41" x14ac:dyDescent="0.2">
      <c r="A9" s="122"/>
      <c r="B9" s="122"/>
      <c r="C9" s="122"/>
      <c r="D9" s="122"/>
      <c r="E9" s="122"/>
      <c r="F9" s="122"/>
      <c r="G9" s="3"/>
      <c r="H9" s="122"/>
      <c r="I9" s="122"/>
      <c r="J9" s="122"/>
      <c r="K9" s="122"/>
      <c r="L9" s="122"/>
      <c r="M9" s="122"/>
      <c r="N9" s="122"/>
      <c r="O9" s="122"/>
      <c r="P9" s="122"/>
      <c r="Q9" s="122"/>
      <c r="R9" s="122"/>
      <c r="S9" s="122"/>
      <c r="T9" s="122"/>
      <c r="U9" s="122"/>
      <c r="Y9" s="1"/>
      <c r="Z9" s="1"/>
      <c r="AA9" s="1"/>
      <c r="AB9" s="1"/>
      <c r="AC9" s="1"/>
      <c r="AD9" s="1"/>
      <c r="AE9" s="1"/>
      <c r="AF9" s="1"/>
      <c r="AG9" s="1"/>
      <c r="AH9" s="1"/>
      <c r="AI9" s="1"/>
      <c r="AJ9" s="1"/>
      <c r="AK9" s="1"/>
      <c r="AL9" s="1"/>
      <c r="AM9" s="1"/>
      <c r="AN9" s="1"/>
      <c r="AO9" s="1"/>
    </row>
    <row r="10" spans="1:41" ht="18.75" thickBot="1" x14ac:dyDescent="0.3">
      <c r="A10" s="1"/>
      <c r="B10" s="1726" t="s">
        <v>434</v>
      </c>
      <c r="C10" s="1726"/>
      <c r="D10" s="1726"/>
      <c r="E10" s="1726"/>
      <c r="F10" s="1124" t="s">
        <v>60</v>
      </c>
      <c r="G10" s="1125"/>
      <c r="H10" s="1726" t="s">
        <v>435</v>
      </c>
      <c r="I10" s="1726"/>
      <c r="J10" s="1126" t="s">
        <v>60</v>
      </c>
      <c r="K10" s="122"/>
      <c r="L10" s="122"/>
      <c r="M10" s="122"/>
      <c r="N10" s="122"/>
      <c r="O10" s="122"/>
      <c r="P10" s="1717"/>
      <c r="Q10" s="1717"/>
      <c r="R10" s="1717"/>
      <c r="S10" s="1717"/>
      <c r="T10" s="1717"/>
      <c r="U10" s="1717"/>
      <c r="V10" s="1717"/>
      <c r="W10" s="1717"/>
      <c r="X10" s="1717"/>
      <c r="Y10" s="1"/>
      <c r="Z10" s="1"/>
      <c r="AA10" s="1"/>
      <c r="AB10" s="1"/>
      <c r="AC10" s="1"/>
      <c r="AD10" s="1"/>
      <c r="AE10" s="1"/>
      <c r="AF10" s="1"/>
      <c r="AG10" s="1"/>
      <c r="AH10" s="1"/>
      <c r="AI10" s="1"/>
      <c r="AJ10" s="1"/>
      <c r="AK10" s="1"/>
      <c r="AL10" s="1"/>
      <c r="AM10" s="1"/>
      <c r="AN10" s="1"/>
      <c r="AO10" s="1"/>
    </row>
    <row r="11" spans="1:41" ht="28.5" customHeight="1" thickBot="1" x14ac:dyDescent="0.25">
      <c r="A11" s="1127" t="s">
        <v>436</v>
      </c>
      <c r="B11" s="1128" t="str">
        <f>'Cash Forecast_8A'!C84</f>
        <v>01/Jan/2018-31/Mar/2018</v>
      </c>
      <c r="C11" s="1129" t="str">
        <f>'Cash Forecast_8A'!D84</f>
        <v>01/Apr/2018-30/Jun/2018</v>
      </c>
      <c r="D11" s="1129" t="str">
        <f>'Cash Forecast_8A'!E84</f>
        <v>01/Jul/2018-30/Sep/2018</v>
      </c>
      <c r="E11" s="1129" t="str">
        <f>'Cash Forecast_8A'!F84</f>
        <v>01/Oct/2018-31/Dec/2018</v>
      </c>
      <c r="F11" s="1130"/>
      <c r="G11" s="396"/>
      <c r="H11" s="1128" t="str">
        <f>'Cash Forecast_8A'!H84</f>
        <v>01/Jan/2019-31/Mar/2019</v>
      </c>
      <c r="I11" s="1129" t="str">
        <f>'Cash Forecast_8A'!I84</f>
        <v>01/Apr/2019-30/Jun/2019</v>
      </c>
      <c r="J11" s="1131"/>
      <c r="K11" s="122"/>
      <c r="L11" s="122"/>
      <c r="M11" s="122"/>
      <c r="N11" s="122"/>
      <c r="O11" s="122"/>
      <c r="P11" s="1717"/>
      <c r="Q11" s="1717"/>
      <c r="R11" s="1717"/>
      <c r="S11" s="1717"/>
      <c r="T11" s="1717"/>
      <c r="U11" s="1717"/>
      <c r="V11" s="1717"/>
      <c r="W11" s="1717"/>
      <c r="X11" s="1717"/>
      <c r="Y11" s="1"/>
      <c r="Z11" s="1"/>
      <c r="AA11" s="1"/>
      <c r="AB11" s="1"/>
      <c r="AC11" s="1"/>
      <c r="AD11" s="1"/>
      <c r="AE11" s="1"/>
      <c r="AF11" s="1"/>
      <c r="AG11" s="1"/>
      <c r="AH11" s="1"/>
      <c r="AI11" s="1"/>
      <c r="AJ11" s="1"/>
      <c r="AK11" s="1"/>
      <c r="AL11" s="1"/>
      <c r="AM11" s="1"/>
      <c r="AN11" s="1"/>
      <c r="AO11" s="1"/>
    </row>
    <row r="12" spans="1:41" ht="15" thickBot="1" x14ac:dyDescent="0.25">
      <c r="A12" s="1132" t="s">
        <v>426</v>
      </c>
      <c r="B12" s="1008">
        <f>B101</f>
        <v>705914.63008669997</v>
      </c>
      <c r="C12" s="1034">
        <f>C101</f>
        <v>1524545.7024447001</v>
      </c>
      <c r="D12" s="1035">
        <f>D101</f>
        <v>1108922.3782796999</v>
      </c>
      <c r="E12" s="1036">
        <f>E101</f>
        <v>473041.7715037</v>
      </c>
      <c r="F12" s="1003">
        <f>SUM(B12:E12)</f>
        <v>3812424.4823147999</v>
      </c>
      <c r="G12" s="1"/>
      <c r="H12" s="1037">
        <f>G101</f>
        <v>515541.46779620001</v>
      </c>
      <c r="I12" s="1035">
        <f>H101</f>
        <v>1002225.2847092</v>
      </c>
      <c r="J12" s="1003">
        <f>SUM(H12:I12)</f>
        <v>1517766.7525054</v>
      </c>
      <c r="K12" s="1004">
        <f>F12+J12</f>
        <v>5330191.2348202001</v>
      </c>
      <c r="L12" s="122"/>
      <c r="M12" s="122"/>
      <c r="N12" s="122"/>
      <c r="O12" s="122"/>
      <c r="P12" s="1717"/>
      <c r="Q12" s="1717"/>
      <c r="R12" s="1717"/>
      <c r="S12" s="1717"/>
      <c r="T12" s="1717"/>
      <c r="U12" s="1717"/>
      <c r="V12" s="1717"/>
      <c r="W12" s="1717"/>
      <c r="X12" s="1717"/>
      <c r="Y12" s="1"/>
      <c r="Z12" s="1"/>
      <c r="AA12" s="1"/>
      <c r="AB12" s="1"/>
      <c r="AC12" s="1"/>
      <c r="AD12" s="1"/>
      <c r="AE12" s="1"/>
      <c r="AF12" s="1"/>
      <c r="AG12" s="1"/>
      <c r="AH12" s="1"/>
      <c r="AI12" s="1"/>
      <c r="AJ12" s="1"/>
      <c r="AK12" s="1"/>
      <c r="AL12" s="1"/>
      <c r="AM12" s="1"/>
      <c r="AN12" s="1"/>
      <c r="AO12" s="1"/>
    </row>
    <row r="13" spans="1:41" ht="15" thickBot="1" x14ac:dyDescent="0.25">
      <c r="A13" s="1132" t="s">
        <v>437</v>
      </c>
      <c r="B13" s="1001">
        <f>'Cash Forecast_8A'!C94</f>
        <v>285703.2</v>
      </c>
      <c r="C13" s="1002">
        <f>'Cash Forecast_8A'!D94</f>
        <v>1362751.41</v>
      </c>
      <c r="D13" s="1001">
        <f>'Cash Forecast_8A'!E94</f>
        <v>2074160.53</v>
      </c>
      <c r="E13" s="1002">
        <f>'Cash Forecast_8A'!F94</f>
        <v>1143270.0900000001</v>
      </c>
      <c r="F13" s="1003">
        <f>SUM(B13:E13)</f>
        <v>4865885.2299999995</v>
      </c>
      <c r="G13" s="1"/>
      <c r="H13" s="1001">
        <f>'Cash Forecast_8A'!H94</f>
        <v>515541.47</v>
      </c>
      <c r="I13" s="1002">
        <f>'Cash Forecast_8A'!I94</f>
        <v>0</v>
      </c>
      <c r="J13" s="1003">
        <f>SUM(H13:I13)</f>
        <v>515541.47</v>
      </c>
      <c r="K13" s="1004">
        <f>F13+J13</f>
        <v>5381426.6999999993</v>
      </c>
      <c r="L13" s="122"/>
      <c r="M13" s="122"/>
      <c r="N13" s="1133"/>
      <c r="O13" s="122"/>
      <c r="P13" s="1717"/>
      <c r="Q13" s="1717"/>
      <c r="R13" s="1717"/>
      <c r="S13" s="1717"/>
      <c r="T13" s="1717"/>
      <c r="U13" s="1717"/>
      <c r="V13" s="1717"/>
      <c r="W13" s="1717"/>
      <c r="X13" s="1717"/>
      <c r="Y13" s="1"/>
      <c r="Z13" s="1"/>
      <c r="AA13" s="1"/>
      <c r="AB13" s="1"/>
      <c r="AC13" s="1"/>
      <c r="AD13" s="1"/>
      <c r="AE13" s="1"/>
      <c r="AF13" s="1"/>
      <c r="AG13" s="1"/>
      <c r="AH13" s="1"/>
      <c r="AI13" s="1"/>
      <c r="AJ13" s="1"/>
      <c r="AK13" s="1"/>
      <c r="AL13" s="1"/>
      <c r="AM13" s="1"/>
      <c r="AN13" s="1"/>
      <c r="AO13" s="1"/>
    </row>
    <row r="14" spans="1:41" ht="42.75" x14ac:dyDescent="0.2">
      <c r="A14" s="1134" t="s">
        <v>615</v>
      </c>
      <c r="B14" s="1001">
        <f>'PR Cash Reconciliation_2A,B,C,D'!D32</f>
        <v>3097323.0733427135</v>
      </c>
      <c r="C14" s="1135"/>
      <c r="D14" s="1135"/>
      <c r="E14" s="1135"/>
      <c r="F14" s="1136"/>
      <c r="G14" s="1"/>
      <c r="H14" s="1137"/>
      <c r="I14" s="1135"/>
      <c r="J14" s="1136"/>
      <c r="K14" s="122"/>
      <c r="L14" s="122"/>
      <c r="M14" s="122"/>
      <c r="N14" s="122"/>
      <c r="O14" s="122"/>
      <c r="P14" s="1717"/>
      <c r="Q14" s="1717"/>
      <c r="R14" s="1717"/>
      <c r="S14" s="1717"/>
      <c r="T14" s="1717"/>
      <c r="U14" s="1717"/>
      <c r="V14" s="1717"/>
      <c r="W14" s="1717"/>
      <c r="X14" s="1717"/>
      <c r="Y14" s="1"/>
      <c r="Z14" s="1"/>
      <c r="AA14" s="1"/>
      <c r="AB14" s="1"/>
      <c r="AC14" s="1"/>
      <c r="AD14" s="1"/>
      <c r="AE14" s="1"/>
      <c r="AF14" s="1"/>
      <c r="AG14" s="1"/>
      <c r="AH14" s="1"/>
      <c r="AI14" s="1"/>
      <c r="AJ14" s="1"/>
      <c r="AK14" s="1"/>
      <c r="AL14" s="1"/>
      <c r="AM14" s="1"/>
      <c r="AN14" s="1"/>
      <c r="AO14" s="1"/>
    </row>
    <row r="15" spans="1:41" ht="33.75" customHeight="1" x14ac:dyDescent="0.2">
      <c r="A15" s="1134" t="s">
        <v>605</v>
      </c>
      <c r="B15" s="1161">
        <v>0</v>
      </c>
      <c r="C15" s="1135"/>
      <c r="D15" s="1135"/>
      <c r="E15" s="1135"/>
      <c r="F15" s="1136"/>
      <c r="G15" s="1"/>
      <c r="H15" s="1137"/>
      <c r="I15" s="1135"/>
      <c r="J15" s="1136"/>
      <c r="K15" s="1138"/>
      <c r="L15" s="1724" t="str">
        <f>IF(AND(ROUND(SUM(B15:B16),0)=ROUND('PR Cash Reconciliation_2A,B,C,D'!D38,0)),"Cash in Transit OK","WARNING - Cash in Transit not matching")</f>
        <v>Cash in Transit OK</v>
      </c>
      <c r="M15" s="1139"/>
      <c r="N15" s="1139"/>
      <c r="O15" s="1140"/>
      <c r="P15" s="1717"/>
      <c r="Q15" s="1717"/>
      <c r="R15" s="1717"/>
      <c r="S15" s="1717"/>
      <c r="T15" s="1717"/>
      <c r="U15" s="1717"/>
      <c r="V15" s="1717"/>
      <c r="W15" s="1717"/>
      <c r="X15" s="1717"/>
      <c r="Y15" s="1"/>
      <c r="Z15" s="1"/>
      <c r="AA15" s="1"/>
      <c r="AB15" s="1"/>
      <c r="AC15" s="1"/>
      <c r="AD15" s="1"/>
      <c r="AE15" s="1"/>
      <c r="AF15" s="1"/>
      <c r="AG15" s="1"/>
      <c r="AH15" s="1"/>
      <c r="AI15" s="1"/>
      <c r="AJ15" s="1"/>
      <c r="AK15" s="1"/>
      <c r="AL15" s="1"/>
      <c r="AM15" s="1"/>
      <c r="AN15" s="1"/>
      <c r="AO15" s="1"/>
    </row>
    <row r="16" spans="1:41" ht="28.5" x14ac:dyDescent="0.2">
      <c r="A16" s="1134" t="s">
        <v>581</v>
      </c>
      <c r="B16" s="1161">
        <v>0</v>
      </c>
      <c r="C16" s="1141"/>
      <c r="D16" s="1141"/>
      <c r="E16" s="1141"/>
      <c r="F16" s="1142"/>
      <c r="G16" s="1"/>
      <c r="H16" s="1143"/>
      <c r="I16" s="1141"/>
      <c r="J16" s="1142"/>
      <c r="K16" s="122"/>
      <c r="L16" s="1724"/>
      <c r="M16" s="1139"/>
      <c r="N16" s="1139"/>
      <c r="O16" s="1140"/>
      <c r="P16" s="1717"/>
      <c r="Q16" s="1717"/>
      <c r="R16" s="1717"/>
      <c r="S16" s="1717"/>
      <c r="T16" s="1717"/>
      <c r="U16" s="1717"/>
      <c r="V16" s="1717"/>
      <c r="W16" s="1717"/>
      <c r="X16" s="1717"/>
      <c r="Y16" s="1"/>
      <c r="Z16" s="1"/>
      <c r="AA16" s="1"/>
      <c r="AB16" s="1"/>
      <c r="AC16" s="1"/>
      <c r="AD16" s="1"/>
      <c r="AE16" s="1"/>
      <c r="AF16" s="1"/>
      <c r="AG16" s="1"/>
      <c r="AH16" s="1"/>
      <c r="AI16" s="1"/>
      <c r="AJ16" s="1"/>
      <c r="AK16" s="1"/>
      <c r="AL16" s="1"/>
      <c r="AM16" s="1"/>
      <c r="AN16" s="1"/>
      <c r="AO16" s="1"/>
    </row>
    <row r="17" spans="1:24" ht="38.25" customHeight="1" x14ac:dyDescent="0.2">
      <c r="A17" s="1134" t="s">
        <v>606</v>
      </c>
      <c r="B17" s="1161">
        <v>655915</v>
      </c>
      <c r="C17" s="1141"/>
      <c r="D17" s="1141"/>
      <c r="E17" s="1141"/>
      <c r="F17" s="1142"/>
      <c r="G17" s="1"/>
      <c r="H17" s="1143"/>
      <c r="I17" s="1141"/>
      <c r="J17" s="1142"/>
      <c r="K17" s="1138"/>
      <c r="L17" s="1724" t="str">
        <f>IF(AND(ROUND(SUM(B17:B18),0)=ROUND('PR Cash Reconciliation_2A,B,C,D'!D39,0)),"Cash in Transit OK","WARNING - Cash in Transit not matching")</f>
        <v>Cash in Transit OK</v>
      </c>
      <c r="M17" s="1139"/>
      <c r="N17" s="1139"/>
      <c r="O17" s="1140"/>
      <c r="P17" s="1717"/>
      <c r="Q17" s="1717"/>
      <c r="R17" s="1717"/>
      <c r="S17" s="1717"/>
      <c r="T17" s="1717"/>
      <c r="U17" s="1717"/>
      <c r="V17" s="1717"/>
      <c r="W17" s="1717"/>
      <c r="X17" s="1717"/>
    </row>
    <row r="18" spans="1:24" ht="43.5" thickBot="1" x14ac:dyDescent="0.25">
      <c r="A18" s="1134" t="s">
        <v>582</v>
      </c>
      <c r="B18" s="1161">
        <v>0</v>
      </c>
      <c r="C18" s="1141"/>
      <c r="D18" s="1141"/>
      <c r="E18" s="1141"/>
      <c r="F18" s="1142"/>
      <c r="G18" s="1"/>
      <c r="H18" s="1143"/>
      <c r="I18" s="1141"/>
      <c r="J18" s="1142"/>
      <c r="K18" s="1138"/>
      <c r="L18" s="1724"/>
      <c r="M18" s="1139"/>
      <c r="N18" s="1139"/>
      <c r="O18" s="1140"/>
      <c r="P18" s="1717"/>
      <c r="Q18" s="1717"/>
      <c r="R18" s="1717"/>
      <c r="S18" s="1717"/>
      <c r="T18" s="1717"/>
      <c r="U18" s="1717"/>
      <c r="V18" s="1717"/>
      <c r="W18" s="1717"/>
      <c r="X18" s="1717"/>
    </row>
    <row r="19" spans="1:24" ht="15" thickBot="1" x14ac:dyDescent="0.25">
      <c r="A19" s="1144" t="s">
        <v>274</v>
      </c>
      <c r="B19" s="1005">
        <f>IF(B13=0,0,IF(AND(B103-$B$14-$B$15-$B$17&lt;=0,B25+B26&lt;=0),0,IF(AND(B103-$B$14-$B$15-$B$17&lt;=0,B25+B26&gt;0),B25+B26,IF(AND(B13-$B$14-$B$15-$B$17&lt;=B25+B26,B25+B26&gt;0),B25+B26,B103-$B$14-$B$15-$B$17+B25+B26))))</f>
        <v>0</v>
      </c>
      <c r="C19" s="1006">
        <f>IF(C13=0,0,IF(AND(B103+C103-$B$14-$B$15-$B$17&lt;=0,C25+C26&lt;=0),0,IF(AND(B103+C103-$B$14-$B$15-$B$17&lt;=0,C25+C26&gt;0),C25+C26,IF(AND(B13+C13-$B$14-$B$15-$B$17&lt;=C25+C26,C25+C26&gt;0),C25+C26,B103+C103-$B$14-$B$15-$B$17-B24+C25+C26))))</f>
        <v>0</v>
      </c>
      <c r="D19" s="1006">
        <f>IF(D13=0,0,IF(AND(B103+C103+D103-$B$14-$B$15-$B$17&lt;=0,D25+D26&lt;=0),0,IF(AND(B103+C103+D103-$B$14-$B$15-$B$17&lt;=0,D25+D26&gt;0),D25+D26,IF(AND(B13+C13+D13-$B$14-$B$15-$B$17&lt;=D25+D26,D25+D26&gt;0),D25+D26,B103+C103+D103-$B$14-$B$15-$B$17-B24-C24+D25+D26))))</f>
        <v>339520.80769836786</v>
      </c>
      <c r="E19" s="1006">
        <f>IF(E13=0,0,IF(AND(B103+C103+D103+E103-$B$14-$B$15-$B$17&lt;=0,E25+E26&lt;=0),0,IF(AND(B103+C103+D103+E103-$B$14-$B$15-$B$17&lt;=0,E25+E26&gt;0),E25+E26,IF(AND(B13+C13+D13+E13-$B$14-$B$15-$B$17&lt;=E25+E26,E25+E26&gt;0),E25+E26,B103+C103+D103+E103-$B$14-$B$15-$B$17-B24-C24-D24+E25+E26))))</f>
        <v>773126.35175038036</v>
      </c>
      <c r="F19" s="1007">
        <f>SUM(B19:E20)</f>
        <v>1112647.1594487482</v>
      </c>
      <c r="G19" s="1"/>
      <c r="H19" s="1005">
        <f>IF(H13=0,0,IF(AND(B103+C103+D103+E103+G103-$B$14-$B$15-$B$17&lt;=0,H25+H26&lt;=0),0,IF(AND(B103+C103+D103+E103+G103-$B$14-$B$15-$B$17&lt;=0,H25+H26&gt;0),H25+H26,IF(AND(B13+C13+D13+E13+H13-$B$14-$B$15-$B$17&lt;=H25+H26,H25+H26&gt;0),H25+H26,B103+C103+D103+E103+G103-$B$14-$B$15-$B$17-B24-C24-D24-E24+H25+H26))))</f>
        <v>515541.46780726407</v>
      </c>
      <c r="I19" s="1006">
        <f>IF(I13=0,0,IF(AND(B103+C103+D103+E103+G103+H103-$B$14-$B$15-$B$17&lt;=0,I25+I26&lt;=0),0,IF(AND(B103+C103+D103+E103+G103+H103-$B$14-$B$15-$B$17&lt;=0,I25+I26&gt;0),I25+I26,IF(AND(B13+C13+D13+E13+H13+I13-$B$14-$B$15-$B$17&lt;=I25+I26,I25+I26&gt;0),I25+I26,B103+C103+D103+E103+G103+H103-$B$14-$B$15-$B$17-B24-C24-D24-E24-H24+I25+I26))))</f>
        <v>0</v>
      </c>
      <c r="J19" s="1007">
        <f>SUM(H19:I19)</f>
        <v>515541.46780726407</v>
      </c>
      <c r="K19" s="1004">
        <f>J19+F19</f>
        <v>1628188.6272560123</v>
      </c>
      <c r="L19" s="122"/>
      <c r="M19" s="122"/>
      <c r="N19" s="122"/>
      <c r="O19" s="122"/>
      <c r="P19" s="1717"/>
      <c r="Q19" s="1717"/>
      <c r="R19" s="1717"/>
      <c r="S19" s="1717"/>
      <c r="T19" s="1717"/>
      <c r="U19" s="1717"/>
      <c r="V19" s="1717"/>
      <c r="W19" s="1717"/>
      <c r="X19" s="1717"/>
    </row>
    <row r="20" spans="1:24" x14ac:dyDescent="0.2">
      <c r="A20" s="122"/>
      <c r="B20" s="1145"/>
      <c r="C20" s="122"/>
      <c r="D20" s="122"/>
      <c r="E20" s="122"/>
      <c r="F20" s="122"/>
      <c r="G20" s="3"/>
      <c r="H20" s="122"/>
      <c r="I20" s="122"/>
      <c r="J20" s="122"/>
      <c r="K20" s="122"/>
      <c r="L20" s="122"/>
      <c r="M20" s="122"/>
      <c r="N20" s="122"/>
      <c r="O20" s="122"/>
      <c r="P20" s="1717"/>
      <c r="Q20" s="1717"/>
      <c r="R20" s="1717"/>
      <c r="S20" s="1717"/>
      <c r="T20" s="1717"/>
      <c r="U20" s="1717"/>
      <c r="V20" s="1717"/>
      <c r="W20" s="1717"/>
      <c r="X20" s="1717"/>
    </row>
    <row r="21" spans="1:24" x14ac:dyDescent="0.2">
      <c r="A21" s="1146"/>
      <c r="B21" s="1133"/>
      <c r="C21" s="1133"/>
      <c r="D21" s="1133"/>
      <c r="E21" s="1133"/>
      <c r="F21" s="122"/>
      <c r="G21" s="1147"/>
      <c r="H21" s="1133"/>
      <c r="I21" s="1133"/>
      <c r="J21" s="122"/>
      <c r="K21" s="1148"/>
      <c r="L21" s="122"/>
      <c r="M21" s="122"/>
      <c r="N21" s="122"/>
      <c r="O21" s="122"/>
      <c r="P21" s="1717"/>
      <c r="Q21" s="1717"/>
      <c r="R21" s="1717"/>
      <c r="S21" s="1717"/>
      <c r="T21" s="1717"/>
      <c r="U21" s="1717"/>
      <c r="V21" s="1717"/>
      <c r="W21" s="1717"/>
      <c r="X21" s="1717"/>
    </row>
    <row r="22" spans="1:24" x14ac:dyDescent="0.2">
      <c r="A22" s="122"/>
      <c r="B22" s="1133"/>
      <c r="C22" s="1133"/>
      <c r="D22" s="1133"/>
      <c r="E22" s="1133"/>
      <c r="F22" s="1133"/>
      <c r="G22" s="3"/>
      <c r="H22" s="1133"/>
      <c r="I22" s="1133"/>
      <c r="J22" s="122"/>
      <c r="K22" s="122"/>
      <c r="L22" s="122"/>
      <c r="M22" s="122"/>
      <c r="N22" s="122"/>
      <c r="O22" s="122"/>
      <c r="P22" s="1717"/>
      <c r="Q22" s="1717"/>
      <c r="R22" s="1717"/>
      <c r="S22" s="1717"/>
      <c r="T22" s="1717"/>
      <c r="U22" s="1717"/>
      <c r="V22" s="1717"/>
      <c r="W22" s="1717"/>
      <c r="X22" s="1717"/>
    </row>
    <row r="23" spans="1:24" ht="13.5" thickBot="1" x14ac:dyDescent="0.25">
      <c r="A23" s="122"/>
      <c r="B23" s="122"/>
      <c r="C23" s="122"/>
      <c r="D23" s="122"/>
      <c r="E23" s="122"/>
      <c r="F23" s="122"/>
      <c r="G23" s="3"/>
      <c r="H23" s="122"/>
      <c r="I23" s="122"/>
      <c r="J23" s="122"/>
      <c r="K23" s="122"/>
      <c r="L23" s="122"/>
      <c r="M23" s="122"/>
      <c r="N23" s="122"/>
      <c r="O23" s="122"/>
      <c r="P23" s="1717"/>
      <c r="Q23" s="1717"/>
      <c r="R23" s="1717"/>
      <c r="S23" s="1717"/>
      <c r="T23" s="1717"/>
      <c r="U23" s="1717"/>
      <c r="V23" s="1717"/>
      <c r="W23" s="1717"/>
      <c r="X23" s="1717"/>
    </row>
    <row r="24" spans="1:24" ht="28.5" x14ac:dyDescent="0.2">
      <c r="A24" s="1149" t="s">
        <v>427</v>
      </c>
      <c r="B24" s="1039">
        <f>IF(B19=0,0,B19-SUM(B25:B26))</f>
        <v>0</v>
      </c>
      <c r="C24" s="1040">
        <f>IF(C19=0,0,C19-SUM(C25:C26))</f>
        <v>0</v>
      </c>
      <c r="D24" s="1040">
        <f>IF(D19=0,0,D19-SUM(D25:D26))</f>
        <v>0</v>
      </c>
      <c r="E24" s="1040">
        <f>IF(E19=0,0,E19-SUM(E25:E26))</f>
        <v>773126.35175038036</v>
      </c>
      <c r="F24" s="1041">
        <f>SUM(B24:E24)</f>
        <v>773126.35175038036</v>
      </c>
      <c r="G24" s="1"/>
      <c r="H24" s="1039">
        <f>H19-SUM(H25:H26)</f>
        <v>515541.46780726407</v>
      </c>
      <c r="I24" s="1040">
        <f>I19-SUM(I25:I26)</f>
        <v>0</v>
      </c>
      <c r="J24" s="1041">
        <f>SUM(H24:I24)</f>
        <v>515541.46780726407</v>
      </c>
      <c r="K24" s="1095" t="str">
        <f>IF(AND(ROUND(F24+J24,0)=ROUND(F103+I103-B14-B15-B17,0)),"OK","WARNING - Sum not matching")</f>
        <v>OK</v>
      </c>
      <c r="L24" s="122"/>
      <c r="M24" s="122"/>
      <c r="N24" s="122"/>
      <c r="O24" s="122"/>
      <c r="P24" s="1717"/>
      <c r="Q24" s="1717"/>
      <c r="R24" s="1717"/>
      <c r="S24" s="1717"/>
      <c r="T24" s="1717"/>
      <c r="U24" s="1717"/>
      <c r="V24" s="1717"/>
      <c r="W24" s="1717"/>
      <c r="X24" s="1717"/>
    </row>
    <row r="25" spans="1:24" ht="14.25" x14ac:dyDescent="0.2">
      <c r="A25" s="1150" t="s">
        <v>428</v>
      </c>
      <c r="B25" s="1042">
        <f>IF('Request and Recommendation_8B'!B102-$B$16-$B$18&lt;=0,0,'Request and Recommendation_8B'!B102-$B$16-$B$18)</f>
        <v>0</v>
      </c>
      <c r="C25" s="1038">
        <f>IF(('Request and Recommendation_8B'!C102+'Request and Recommendation_8B'!B102)-$B$16-$B$18&lt;=0,0,('Request and Recommendation_8B'!C102+'Request and Recommendation_8B'!B102)-B25-$B$16-$B$18)</f>
        <v>0</v>
      </c>
      <c r="D25" s="1038">
        <f>IF(('Request and Recommendation_8B'!D102+'Request and Recommendation_8B'!C102+'Request and Recommendation_8B'!B102)-$B$16-$B$18&lt;=0,0,('Request and Recommendation_8B'!D102+'Request and Recommendation_8B'!C102+'Request and Recommendation_8B'!B102)-B25-C25-$B$16-$B$18)</f>
        <v>339520.80769836786</v>
      </c>
      <c r="E25" s="1038">
        <f>IF(('Request and Recommendation_8B'!E102+'Request and Recommendation_8B'!D102+'Request and Recommendation_8B'!C102+'Request and Recommendation_8B'!B102)-$B$16-$B$18&lt;=0,0,('Request and Recommendation_8B'!E102+'Request and Recommendation_8B'!D102+'Request and Recommendation_8B'!C102+'Request and Recommendation_8B'!B102)-B25-C25-D25-$B$16-$B$18)</f>
        <v>0</v>
      </c>
      <c r="F25" s="1043">
        <f>SUM(B25:E25)</f>
        <v>339520.80769836786</v>
      </c>
      <c r="G25" s="1"/>
      <c r="H25" s="1042">
        <f>IF(('Request and Recommendation_8B'!G102+'Request and Recommendation_8B'!E102+'Request and Recommendation_8B'!D102+'Request and Recommendation_8B'!C102+'Request and Recommendation_8B'!B102)-$B$16-$B$18&lt;=0,0,('Request and Recommendation_8B'!G102+'Request and Recommendation_8B'!E102+'Request and Recommendation_8B'!D102+'Request and Recommendation_8B'!C102+'Request and Recommendation_8B'!B102)-B25-C25-D25-E25-$B$16-$B$18)</f>
        <v>0</v>
      </c>
      <c r="I25" s="1038">
        <f>IF(('Request and Recommendation_8B'!H102+'Request and Recommendation_8B'!G102+'Request and Recommendation_8B'!E102+'Request and Recommendation_8B'!D102+'Request and Recommendation_8B'!C102+'Request and Recommendation_8B'!B102)-$B$16-$B$18&lt;=0,0,('Request and Recommendation_8B'!H102+'Request and Recommendation_8B'!G102+'Request and Recommendation_8B'!E102+'Request and Recommendation_8B'!D102+'Request and Recommendation_8B'!C102+'Request and Recommendation_8B'!B102)-B25-C25-D25-E25-H25-$B$16-$B$18)</f>
        <v>0</v>
      </c>
      <c r="J25" s="1043">
        <f>SUM(H25:I25)</f>
        <v>0</v>
      </c>
      <c r="K25" s="1095" t="str">
        <f>IF(AND(ROUND(F25+J25,0)=ROUND(F102+I102-B16-B18,0)),"OK","WARNING - Sum not matching")</f>
        <v>OK</v>
      </c>
      <c r="L25" s="122"/>
      <c r="M25" s="122"/>
      <c r="N25" s="122"/>
      <c r="O25" s="122"/>
      <c r="P25" s="1717"/>
      <c r="Q25" s="1717"/>
      <c r="R25" s="1717"/>
      <c r="S25" s="1717"/>
      <c r="T25" s="1717"/>
      <c r="U25" s="1717"/>
      <c r="V25" s="1717"/>
      <c r="W25" s="1717"/>
      <c r="X25" s="1717"/>
    </row>
    <row r="26" spans="1:24" ht="29.25" thickBot="1" x14ac:dyDescent="0.25">
      <c r="A26" s="1150" t="s">
        <v>438</v>
      </c>
      <c r="B26" s="1005">
        <f>'Request and Recommendation_8B'!B104</f>
        <v>0</v>
      </c>
      <c r="C26" s="1006">
        <f>'Request and Recommendation_8B'!C104</f>
        <v>0</v>
      </c>
      <c r="D26" s="1006">
        <f>'Request and Recommendation_8B'!D104</f>
        <v>0</v>
      </c>
      <c r="E26" s="1006">
        <f>'Request and Recommendation_8B'!E104</f>
        <v>0</v>
      </c>
      <c r="F26" s="1007">
        <f>SUM(B26:E26)</f>
        <v>0</v>
      </c>
      <c r="G26" s="1"/>
      <c r="H26" s="1005">
        <f>'Request and Recommendation_8B'!G104</f>
        <v>0</v>
      </c>
      <c r="I26" s="1006">
        <f>'Request and Recommendation_8B'!H104</f>
        <v>0</v>
      </c>
      <c r="J26" s="1007">
        <f>SUM(H26:I26)</f>
        <v>0</v>
      </c>
      <c r="K26" s="1095" t="str">
        <f>IF(AND(ROUND(F26+J26,0)=ROUND(F104+I104,0)),"OK","WARNING - Sum not matching")</f>
        <v>OK</v>
      </c>
      <c r="L26" s="122"/>
      <c r="M26" s="122"/>
      <c r="N26" s="122"/>
      <c r="O26" s="122"/>
      <c r="P26" s="1717"/>
      <c r="Q26" s="1717"/>
      <c r="R26" s="1717"/>
      <c r="S26" s="1717"/>
      <c r="T26" s="1717"/>
      <c r="U26" s="1717"/>
      <c r="V26" s="1717"/>
      <c r="W26" s="1717"/>
      <c r="X26" s="1717"/>
    </row>
    <row r="27" spans="1:24" ht="15" thickBot="1" x14ac:dyDescent="0.25">
      <c r="A27" s="1144" t="s">
        <v>274</v>
      </c>
      <c r="B27" s="1009">
        <f>SUM(B24:B26)</f>
        <v>0</v>
      </c>
      <c r="C27" s="1010">
        <f>SUM(C24:C26)</f>
        <v>0</v>
      </c>
      <c r="D27" s="1010">
        <f>SUM(D24:D26)</f>
        <v>339520.80769836786</v>
      </c>
      <c r="E27" s="1010">
        <f>SUM(E24:E26)</f>
        <v>773126.35175038036</v>
      </c>
      <c r="F27" s="1011">
        <f>SUM(F24:F26)</f>
        <v>1112647.1594487482</v>
      </c>
      <c r="G27" s="1"/>
      <c r="H27" s="1012">
        <f>SUM(H24:H26)</f>
        <v>515541.46780726407</v>
      </c>
      <c r="I27" s="1010">
        <f>SUM(I24:I26)</f>
        <v>0</v>
      </c>
      <c r="J27" s="1011">
        <f>SUM(J24:J26)</f>
        <v>515541.46780726407</v>
      </c>
      <c r="K27" s="1004">
        <f>F27+J27</f>
        <v>1628188.6272560123</v>
      </c>
      <c r="L27" s="122"/>
      <c r="M27" s="122"/>
      <c r="N27" s="1133"/>
      <c r="O27" s="122"/>
      <c r="P27" s="1717"/>
      <c r="Q27" s="1717"/>
      <c r="R27" s="1717"/>
      <c r="S27" s="1717"/>
      <c r="T27" s="1717"/>
      <c r="U27" s="1717"/>
      <c r="V27" s="1717"/>
      <c r="W27" s="1717"/>
      <c r="X27" s="1717"/>
    </row>
    <row r="28" spans="1:24" x14ac:dyDescent="0.2">
      <c r="A28" s="122"/>
      <c r="B28" s="122"/>
      <c r="C28" s="122"/>
      <c r="D28" s="122"/>
      <c r="E28" s="122"/>
      <c r="F28" s="122"/>
      <c r="G28" s="3"/>
      <c r="H28" s="122"/>
      <c r="I28" s="122"/>
      <c r="J28" s="122"/>
      <c r="K28" s="122"/>
      <c r="L28" s="122"/>
      <c r="M28" s="122"/>
      <c r="N28" s="122"/>
      <c r="O28" s="122"/>
      <c r="P28" s="122"/>
      <c r="Q28" s="122"/>
      <c r="R28" s="122"/>
      <c r="S28" s="122"/>
      <c r="T28" s="122"/>
      <c r="U28" s="122"/>
    </row>
    <row r="29" spans="1:24" ht="14.25" x14ac:dyDescent="0.2">
      <c r="A29" s="122"/>
      <c r="B29" s="122"/>
      <c r="C29" s="122"/>
      <c r="D29" s="122"/>
      <c r="E29" s="122"/>
      <c r="F29" s="122"/>
      <c r="G29" s="3"/>
      <c r="H29" s="122"/>
      <c r="I29" s="122"/>
      <c r="J29" s="122"/>
      <c r="K29" s="1095" t="str">
        <f>IF(AND(ROUND(K19,0)=ROUND(K27,0)),"OK","WARNING - Sum not matching")</f>
        <v>OK</v>
      </c>
      <c r="L29" s="122"/>
      <c r="M29" s="122"/>
      <c r="N29" s="122"/>
      <c r="O29" s="122"/>
      <c r="P29" s="122"/>
      <c r="Q29" s="122"/>
      <c r="R29" s="122"/>
      <c r="S29" s="122"/>
      <c r="T29" s="122"/>
      <c r="U29" s="122"/>
    </row>
    <row r="30" spans="1:24" x14ac:dyDescent="0.2">
      <c r="A30" s="1151"/>
      <c r="B30" s="1152"/>
      <c r="C30" s="122"/>
      <c r="D30" s="122"/>
      <c r="E30" s="122"/>
      <c r="F30" s="122"/>
      <c r="G30" s="3"/>
      <c r="H30" s="1133"/>
      <c r="I30" s="122"/>
      <c r="J30" s="122"/>
      <c r="K30" s="122"/>
      <c r="L30" s="122"/>
      <c r="M30" s="122"/>
      <c r="N30" s="122"/>
      <c r="O30" s="122"/>
      <c r="P30" s="122"/>
      <c r="Q30" s="122"/>
      <c r="R30" s="122"/>
      <c r="S30" s="122"/>
      <c r="T30" s="122"/>
      <c r="U30" s="122"/>
    </row>
    <row r="31" spans="1:24" x14ac:dyDescent="0.2">
      <c r="A31" s="122"/>
      <c r="B31" s="122"/>
      <c r="C31" s="122"/>
      <c r="D31" s="1133"/>
      <c r="E31" s="122"/>
      <c r="F31" s="122"/>
      <c r="G31" s="3"/>
      <c r="H31" s="122"/>
      <c r="I31" s="122"/>
      <c r="J31" s="122"/>
      <c r="K31" s="122"/>
      <c r="L31" s="122"/>
      <c r="M31" s="122"/>
      <c r="N31" s="122"/>
      <c r="O31" s="122"/>
      <c r="P31" s="122"/>
      <c r="Q31" s="122"/>
      <c r="R31" s="122"/>
      <c r="S31" s="122"/>
      <c r="T31" s="122"/>
      <c r="U31" s="122"/>
    </row>
    <row r="32" spans="1:24" ht="32.450000000000003" customHeight="1" x14ac:dyDescent="0.2">
      <c r="A32" s="122"/>
      <c r="B32" s="122"/>
      <c r="C32" s="122"/>
      <c r="D32" s="122"/>
      <c r="E32" s="122"/>
      <c r="F32" s="122"/>
      <c r="G32" s="3"/>
      <c r="H32" s="122"/>
      <c r="I32" s="122"/>
      <c r="J32" s="122"/>
      <c r="K32" s="122"/>
      <c r="L32" s="122"/>
      <c r="M32" s="122"/>
      <c r="N32" s="122"/>
      <c r="O32" s="122"/>
      <c r="P32" s="122"/>
      <c r="Q32" s="122"/>
      <c r="R32" s="122"/>
      <c r="S32" s="122"/>
      <c r="T32" s="122"/>
      <c r="U32" s="122"/>
    </row>
    <row r="33" spans="1:24" ht="30" x14ac:dyDescent="0.2">
      <c r="A33" s="1718" t="s">
        <v>102</v>
      </c>
      <c r="B33" s="1718"/>
      <c r="C33" s="1718"/>
      <c r="D33" s="1718"/>
      <c r="E33" s="1718"/>
      <c r="F33" s="1718"/>
      <c r="G33" s="1718"/>
      <c r="H33" s="1718"/>
      <c r="I33" s="1718"/>
      <c r="J33" s="1718"/>
      <c r="K33" s="1718"/>
      <c r="L33" s="1718"/>
      <c r="M33" s="1718"/>
      <c r="N33" s="1718"/>
      <c r="O33" s="1718"/>
      <c r="P33" s="1718"/>
      <c r="Q33" s="1718"/>
      <c r="R33" s="1718"/>
      <c r="S33" s="1718"/>
      <c r="T33" s="1718"/>
      <c r="U33" s="1718"/>
      <c r="V33" s="1718"/>
      <c r="W33" s="1718"/>
      <c r="X33" s="1718"/>
    </row>
    <row r="34" spans="1:24" ht="23.25" customHeight="1" x14ac:dyDescent="0.2">
      <c r="A34" s="122"/>
      <c r="B34" s="122"/>
      <c r="C34" s="122"/>
      <c r="D34" s="122"/>
      <c r="E34" s="122"/>
      <c r="F34" s="122"/>
      <c r="G34" s="3"/>
      <c r="H34" s="122"/>
      <c r="I34" s="122"/>
      <c r="J34" s="122"/>
      <c r="K34" s="122"/>
      <c r="L34" s="122"/>
      <c r="M34" s="122"/>
      <c r="N34" s="122"/>
      <c r="O34" s="122"/>
      <c r="P34" s="1723" t="s">
        <v>160</v>
      </c>
      <c r="Q34" s="1723"/>
      <c r="R34" s="1723"/>
      <c r="S34" s="1723"/>
      <c r="T34" s="1723"/>
      <c r="U34" s="1723"/>
      <c r="V34" s="1723"/>
      <c r="W34" s="1723"/>
      <c r="X34" s="1723"/>
    </row>
    <row r="35" spans="1:24" ht="30.75" customHeight="1" x14ac:dyDescent="0.2">
      <c r="A35" s="122"/>
      <c r="B35" s="122"/>
      <c r="C35" s="122"/>
      <c r="D35" s="122"/>
      <c r="E35" s="122"/>
      <c r="F35" s="122"/>
      <c r="G35" s="3"/>
      <c r="H35" s="122"/>
      <c r="I35" s="122"/>
      <c r="J35" s="122"/>
      <c r="K35" s="122"/>
      <c r="L35" s="122"/>
      <c r="M35" s="122"/>
      <c r="N35" s="122"/>
      <c r="O35" s="122"/>
      <c r="P35" s="1"/>
      <c r="Q35" s="1"/>
      <c r="R35" s="1"/>
      <c r="S35" s="1"/>
      <c r="T35" s="1"/>
      <c r="U35" s="1"/>
      <c r="V35" s="1"/>
      <c r="W35" s="1"/>
      <c r="X35" s="1"/>
    </row>
    <row r="36" spans="1:24" ht="18.75" thickBot="1" x14ac:dyDescent="0.3">
      <c r="A36" s="1"/>
      <c r="B36" s="1719" t="s">
        <v>434</v>
      </c>
      <c r="C36" s="1720"/>
      <c r="D36" s="1720"/>
      <c r="E36" s="1721"/>
      <c r="F36" s="1153" t="s">
        <v>60</v>
      </c>
      <c r="G36" s="1154"/>
      <c r="H36" s="1722" t="s">
        <v>435</v>
      </c>
      <c r="I36" s="1722"/>
      <c r="J36" s="1153" t="s">
        <v>60</v>
      </c>
      <c r="K36" s="122"/>
      <c r="L36" s="122"/>
      <c r="M36" s="122"/>
      <c r="N36" s="122"/>
      <c r="O36" s="122"/>
      <c r="P36" s="1717"/>
      <c r="Q36" s="1717"/>
      <c r="R36" s="1717"/>
      <c r="S36" s="1717"/>
      <c r="T36" s="1717"/>
      <c r="U36" s="1717"/>
      <c r="V36" s="1717"/>
      <c r="W36" s="1717"/>
      <c r="X36" s="1717"/>
    </row>
    <row r="37" spans="1:24" ht="33" customHeight="1" thickBot="1" x14ac:dyDescent="0.25">
      <c r="A37" s="1127" t="s">
        <v>436</v>
      </c>
      <c r="B37" s="1128" t="str">
        <f>'Cash Forecast_8A'!C84</f>
        <v>01/Jan/2018-31/Mar/2018</v>
      </c>
      <c r="C37" s="1128" t="str">
        <f>'Cash Forecast_8A'!D84</f>
        <v>01/Apr/2018-30/Jun/2018</v>
      </c>
      <c r="D37" s="1128" t="str">
        <f>'Cash Forecast_8A'!E84</f>
        <v>01/Jul/2018-30/Sep/2018</v>
      </c>
      <c r="E37" s="1128" t="str">
        <f>'Cash Forecast_8A'!F84</f>
        <v>01/Oct/2018-31/Dec/2018</v>
      </c>
      <c r="F37" s="1155"/>
      <c r="G37" s="396"/>
      <c r="H37" s="1128" t="str">
        <f>'Cash Forecast_8A'!H84</f>
        <v>01/Jan/2019-31/Mar/2019</v>
      </c>
      <c r="I37" s="1128" t="str">
        <f>'Cash Forecast_8A'!I84</f>
        <v>01/Apr/2019-30/Jun/2019</v>
      </c>
      <c r="J37" s="1155"/>
      <c r="K37" s="122"/>
      <c r="L37" s="122"/>
      <c r="M37" s="122"/>
      <c r="N37" s="122"/>
      <c r="O37" s="122"/>
      <c r="P37" s="1717"/>
      <c r="Q37" s="1717"/>
      <c r="R37" s="1717"/>
      <c r="S37" s="1717"/>
      <c r="T37" s="1717"/>
      <c r="U37" s="1717"/>
      <c r="V37" s="1717"/>
      <c r="W37" s="1717"/>
      <c r="X37" s="1717"/>
    </row>
    <row r="38" spans="1:24" ht="15" thickBot="1" x14ac:dyDescent="0.25">
      <c r="A38" s="1132" t="s">
        <v>426</v>
      </c>
      <c r="B38" s="1008">
        <f>B101</f>
        <v>705914.63008669997</v>
      </c>
      <c r="C38" s="1035">
        <f>C101</f>
        <v>1524545.7024447001</v>
      </c>
      <c r="D38" s="1036">
        <f>D101</f>
        <v>1108922.3782796999</v>
      </c>
      <c r="E38" s="1034">
        <f>E101</f>
        <v>473041.7715037</v>
      </c>
      <c r="F38" s="1003">
        <f>SUM(B38:E38)</f>
        <v>3812424.4823147999</v>
      </c>
      <c r="G38" s="1"/>
      <c r="H38" s="1008">
        <f>G101</f>
        <v>515541.46779620001</v>
      </c>
      <c r="I38" s="1034">
        <f>H101</f>
        <v>1002225.2847092</v>
      </c>
      <c r="J38" s="1035">
        <f>SUM(H38:I38)</f>
        <v>1517766.7525054</v>
      </c>
      <c r="K38" s="1004">
        <f>J38+F38</f>
        <v>5330191.2348202001</v>
      </c>
      <c r="L38" s="122"/>
      <c r="M38" s="122"/>
      <c r="N38" s="122"/>
      <c r="O38" s="122"/>
      <c r="P38" s="1717"/>
      <c r="Q38" s="1717"/>
      <c r="R38" s="1717"/>
      <c r="S38" s="1717"/>
      <c r="T38" s="1717"/>
      <c r="U38" s="1717"/>
      <c r="V38" s="1717"/>
      <c r="W38" s="1717"/>
      <c r="X38" s="1717"/>
    </row>
    <row r="39" spans="1:24" ht="15" thickBot="1" x14ac:dyDescent="0.25">
      <c r="A39" s="1132" t="s">
        <v>439</v>
      </c>
      <c r="B39" s="1001">
        <f>'Cash Forecast_8A'!C101</f>
        <v>0</v>
      </c>
      <c r="C39" s="1002">
        <f>'Cash Forecast_8A'!D101</f>
        <v>0</v>
      </c>
      <c r="D39" s="1002">
        <f>'Cash Forecast_8A'!E101</f>
        <v>0</v>
      </c>
      <c r="E39" s="1002">
        <f>'Cash Forecast_8A'!F101</f>
        <v>0</v>
      </c>
      <c r="F39" s="1003">
        <f>SUM(B39:E39)</f>
        <v>0</v>
      </c>
      <c r="G39" s="1"/>
      <c r="H39" s="1001">
        <f>'Cash Forecast_8A'!H101</f>
        <v>0</v>
      </c>
      <c r="I39" s="1002">
        <f>'Cash Forecast_8A'!I101</f>
        <v>0</v>
      </c>
      <c r="J39" s="1035">
        <f>SUM(H39:I39)</f>
        <v>0</v>
      </c>
      <c r="K39" s="1004">
        <f>J39+F39</f>
        <v>0</v>
      </c>
      <c r="L39" s="122"/>
      <c r="M39" s="122"/>
      <c r="N39" s="122"/>
      <c r="O39" s="122"/>
      <c r="P39" s="1717"/>
      <c r="Q39" s="1717"/>
      <c r="R39" s="1717"/>
      <c r="S39" s="1717"/>
      <c r="T39" s="1717"/>
      <c r="U39" s="1717"/>
      <c r="V39" s="1717"/>
      <c r="W39" s="1717"/>
      <c r="X39" s="1717"/>
    </row>
    <row r="40" spans="1:24" ht="42.75" x14ac:dyDescent="0.2">
      <c r="A40" s="1134" t="s">
        <v>615</v>
      </c>
      <c r="B40" s="1001">
        <f>'PR Cash Reconciliation_2A,B,C,D'!H32</f>
        <v>3097323.0733427135</v>
      </c>
      <c r="C40" s="1013"/>
      <c r="D40" s="1013"/>
      <c r="E40" s="1013"/>
      <c r="F40" s="1014"/>
      <c r="G40" s="1"/>
      <c r="H40" s="1015"/>
      <c r="I40" s="1013"/>
      <c r="J40" s="1014"/>
      <c r="K40" s="122"/>
      <c r="L40" s="122"/>
      <c r="M40" s="122"/>
      <c r="N40" s="122"/>
      <c r="O40" s="122"/>
      <c r="P40" s="1717"/>
      <c r="Q40" s="1717"/>
      <c r="R40" s="1717"/>
      <c r="S40" s="1717"/>
      <c r="T40" s="1717"/>
      <c r="U40" s="1717"/>
      <c r="V40" s="1717"/>
      <c r="W40" s="1717"/>
      <c r="X40" s="1717"/>
    </row>
    <row r="41" spans="1:24" ht="38.25" customHeight="1" x14ac:dyDescent="0.2">
      <c r="A41" s="1134" t="s">
        <v>605</v>
      </c>
      <c r="B41" s="1161"/>
      <c r="C41" s="1013"/>
      <c r="D41" s="1013"/>
      <c r="E41" s="1013"/>
      <c r="F41" s="1014"/>
      <c r="G41" s="1"/>
      <c r="H41" s="1015"/>
      <c r="I41" s="1013"/>
      <c r="J41" s="1014"/>
      <c r="K41" s="1138"/>
      <c r="L41" s="1724" t="str">
        <f>IF(AND(ROUND(SUM(B41:B42),0)=ROUND('PR Cash Reconciliation_2A,B,C,D'!H38,0)),"Cash in Transit OK","WARNING - Cash in Transit not matching")</f>
        <v>Cash in Transit OK</v>
      </c>
      <c r="M41" s="1139"/>
      <c r="N41" s="1139"/>
      <c r="O41" s="1140"/>
      <c r="P41" s="1717"/>
      <c r="Q41" s="1717"/>
      <c r="R41" s="1717"/>
      <c r="S41" s="1717"/>
      <c r="T41" s="1717"/>
      <c r="U41" s="1717"/>
      <c r="V41" s="1717"/>
      <c r="W41" s="1717"/>
      <c r="X41" s="1717"/>
    </row>
    <row r="42" spans="1:24" ht="28.5" x14ac:dyDescent="0.2">
      <c r="A42" s="1134" t="s">
        <v>581</v>
      </c>
      <c r="B42" s="1161"/>
      <c r="C42" s="1013"/>
      <c r="D42" s="1013"/>
      <c r="E42" s="1013"/>
      <c r="F42" s="1014"/>
      <c r="G42" s="1"/>
      <c r="H42" s="1015"/>
      <c r="I42" s="1013"/>
      <c r="J42" s="1014"/>
      <c r="K42" s="122"/>
      <c r="L42" s="1724"/>
      <c r="M42" s="1139"/>
      <c r="N42" s="1139"/>
      <c r="O42" s="1140"/>
      <c r="P42" s="1717"/>
      <c r="Q42" s="1717"/>
      <c r="R42" s="1717"/>
      <c r="S42" s="1717"/>
      <c r="T42" s="1717"/>
      <c r="U42" s="1717"/>
      <c r="V42" s="1717"/>
      <c r="W42" s="1717"/>
      <c r="X42" s="1717"/>
    </row>
    <row r="43" spans="1:24" ht="29.25" customHeight="1" x14ac:dyDescent="0.2">
      <c r="A43" s="1134" t="s">
        <v>607</v>
      </c>
      <c r="B43" s="1161"/>
      <c r="C43" s="1013"/>
      <c r="D43" s="1013"/>
      <c r="E43" s="1013"/>
      <c r="F43" s="1014"/>
      <c r="G43" s="1"/>
      <c r="H43" s="1015"/>
      <c r="I43" s="1013"/>
      <c r="J43" s="1014"/>
      <c r="K43" s="1138"/>
      <c r="L43" s="1724" t="str">
        <f>IF(AND(ROUND(SUM(B43:B44),0)=ROUND('PR Cash Reconciliation_2A,B,C,D'!H39,0)),"Cash in Transit OK","WARNING - Cash in Transit not matching")</f>
        <v>WARNING - Cash in Transit not matching</v>
      </c>
      <c r="M43" s="1139"/>
      <c r="N43" s="1139"/>
      <c r="O43" s="1140"/>
      <c r="P43" s="1717"/>
      <c r="Q43" s="1717"/>
      <c r="R43" s="1717"/>
      <c r="S43" s="1717"/>
      <c r="T43" s="1717"/>
      <c r="U43" s="1717"/>
      <c r="V43" s="1717"/>
      <c r="W43" s="1717"/>
      <c r="X43" s="1717"/>
    </row>
    <row r="44" spans="1:24" ht="43.5" thickBot="1" x14ac:dyDescent="0.25">
      <c r="A44" s="1134" t="s">
        <v>582</v>
      </c>
      <c r="B44" s="1161"/>
      <c r="C44" s="1047"/>
      <c r="D44" s="1047"/>
      <c r="E44" s="1047"/>
      <c r="F44" s="1048"/>
      <c r="G44" s="1"/>
      <c r="H44" s="1049"/>
      <c r="I44" s="1047"/>
      <c r="J44" s="1048"/>
      <c r="K44" s="1138"/>
      <c r="L44" s="1724"/>
      <c r="M44" s="1139"/>
      <c r="N44" s="1139"/>
      <c r="O44" s="1140"/>
      <c r="P44" s="1717"/>
      <c r="Q44" s="1717"/>
      <c r="R44" s="1717"/>
      <c r="S44" s="1717"/>
      <c r="T44" s="1717"/>
      <c r="U44" s="1717"/>
      <c r="V44" s="1717"/>
      <c r="W44" s="1717"/>
      <c r="X44" s="1717"/>
    </row>
    <row r="45" spans="1:24" ht="15" thickBot="1" x14ac:dyDescent="0.25">
      <c r="A45" s="1144" t="s">
        <v>274</v>
      </c>
      <c r="B45" s="1005">
        <f>IF(B39=0,0,IF(AND(B106-$B$40-$B$41-$B$43&lt;=0,B51+B52&lt;=0),0,IF(AND(B106-$B$40-$B$41-$B$43&lt;=0,B51+B52&gt;0),B51+B52,IF(AND(B39-$B$40-$B$41-$B$43&lt;=B51+B52,B51+B52&gt;0),B51+B52,B106-$B$40-$B$41-$B$43+B51+B52))))</f>
        <v>0</v>
      </c>
      <c r="C45" s="1006">
        <f>IF(C39=0,0,IF(AND(B106+C106-$B$40-$B$41-$B$43&lt;=0,C51+C52&lt;=0),0,IF(AND(B106+C106-$B$40-$B$41-$B$43&lt;=0,C51+C52&gt;0),C51+C52,IF(AND(B39+C39-$B$40-$B$41-$B$43&lt;=C51+C52,C51+C52&gt;0),C51+C52,B106+C106-$B$40-$B$41-$B$43-B50+C51+C52))))</f>
        <v>0</v>
      </c>
      <c r="D45" s="1006">
        <f>IF(D39=0,0,IF(AND(B106+C106+D106-$B$40-$B$41-$B$43&lt;=0,D51+D52&lt;=0),0,IF(AND(B106+C106+D106-$B$40-$B$41-$B$43&lt;=0,D51+D52&gt;0),D51+D52,IF(AND(B39+C39+D39-$B$40-$B$41-$B$43&lt;=D51+D52,D51+D52&gt;0),D51+D52,B106+C106+D106-$B$40-$B$41-$B$43-B50-C50+D51+D52))))</f>
        <v>0</v>
      </c>
      <c r="E45" s="1006">
        <f>IF(E39=0,0,IF(AND(B106+C106+D106+E106-$B$40-$B$41-$B$43&lt;=0,E51+E52&lt;=0),0,IF(AND(B106+C106+D106+E106-$B$40-$B$41-$B$43&lt;=0,E51+E52&gt;0),E51+E52,IF(AND(B39+C39+D39+E39-$B$40-$B$41-$B$43&lt;=E51+E52,E51+E52&gt;0),E51+E52,B106+C106+D106+E106-$B$40-$B$41-$B$43-B50-C50-D50+E51+E52))))</f>
        <v>0</v>
      </c>
      <c r="F45" s="1007">
        <f>SUM(B45:E45)</f>
        <v>0</v>
      </c>
      <c r="G45" s="1"/>
      <c r="H45" s="1005">
        <f>IF(H39=0,0,IF(AND(B106+C106+D106+E106+G106-$B$40-$B$41-$B$43&lt;=0,H51+H52&lt;=0),0,IF(AND(B106+C106+D106+E106+G106-$B$40-$B$41-$B$43&lt;=0,H51+H52&gt;0),H51+H52,IF(AND(B39+C39+D39+E39+H39-$B$40-$B$41-$B$43&lt;=H51+H52,H51+H52&gt;0),H51+H52,B106+C106+D106+E106+G106-$B$40-$B$41-$B$43-B50-C50-D50-E50+H51+H52))))</f>
        <v>0</v>
      </c>
      <c r="I45" s="1006">
        <f>IF(I39=0,0,IF(AND(B106+C106+D106+E106+G106+H106-$B$40-$B$41-$B$43&lt;=0,I51+I52&lt;=0),0,IF(AND(B106+C106+D106+E106+G106+H106-$B$40-$B$41-$B$43&lt;=0,I51+I52&gt;0),I51+I52,IF(AND(B39+C39+D39+E39+H39+I39-$B$40-$B$41-$B$43&lt;=I51+I52,I51+I52&gt;0),I51+I52,B106+C106+D106+E106+G106+H106-$B$40-$B$41-$B$43-B50-C50-D50-E50-H50+I51+I52))))</f>
        <v>0</v>
      </c>
      <c r="J45" s="1007">
        <f>SUM(H45:I45)</f>
        <v>0</v>
      </c>
      <c r="K45" s="1004">
        <f>F45+J45</f>
        <v>0</v>
      </c>
      <c r="L45" s="122"/>
      <c r="M45" s="122"/>
      <c r="N45" s="122"/>
      <c r="O45" s="122"/>
      <c r="P45" s="1717"/>
      <c r="Q45" s="1717"/>
      <c r="R45" s="1717"/>
      <c r="S45" s="1717"/>
      <c r="T45" s="1717"/>
      <c r="U45" s="1717"/>
      <c r="V45" s="1717"/>
      <c r="W45" s="1717"/>
      <c r="X45" s="1717"/>
    </row>
    <row r="46" spans="1:24" x14ac:dyDescent="0.2">
      <c r="A46" s="122"/>
      <c r="B46" s="122"/>
      <c r="C46" s="122"/>
      <c r="D46" s="122"/>
      <c r="E46" s="122"/>
      <c r="F46" s="122"/>
      <c r="G46" s="3"/>
      <c r="H46" s="122"/>
      <c r="I46" s="122"/>
      <c r="J46" s="122"/>
      <c r="K46" s="122"/>
      <c r="L46" s="122"/>
      <c r="M46" s="122"/>
      <c r="N46" s="122"/>
      <c r="O46" s="122"/>
      <c r="P46" s="1717"/>
      <c r="Q46" s="1717"/>
      <c r="R46" s="1717"/>
      <c r="S46" s="1717"/>
      <c r="T46" s="1717"/>
      <c r="U46" s="1717"/>
      <c r="V46" s="1717"/>
      <c r="W46" s="1717"/>
      <c r="X46" s="1717"/>
    </row>
    <row r="47" spans="1:24" x14ac:dyDescent="0.2">
      <c r="A47" s="1146"/>
      <c r="B47" s="1133"/>
      <c r="C47" s="1133"/>
      <c r="D47" s="1133"/>
      <c r="E47" s="1133"/>
      <c r="F47" s="122"/>
      <c r="G47" s="1147"/>
      <c r="H47" s="1133"/>
      <c r="I47" s="1133"/>
      <c r="J47" s="122"/>
      <c r="K47" s="1148"/>
      <c r="L47" s="122"/>
      <c r="M47" s="122"/>
      <c r="N47" s="122"/>
      <c r="O47" s="122"/>
      <c r="P47" s="1717"/>
      <c r="Q47" s="1717"/>
      <c r="R47" s="1717"/>
      <c r="S47" s="1717"/>
      <c r="T47" s="1717"/>
      <c r="U47" s="1717"/>
      <c r="V47" s="1717"/>
      <c r="W47" s="1717"/>
      <c r="X47" s="1717"/>
    </row>
    <row r="48" spans="1:24" x14ac:dyDescent="0.2">
      <c r="A48" s="122"/>
      <c r="B48" s="1133"/>
      <c r="C48" s="1133"/>
      <c r="D48" s="1133"/>
      <c r="E48" s="1133"/>
      <c r="F48" s="122"/>
      <c r="G48" s="3"/>
      <c r="H48" s="122"/>
      <c r="I48" s="122"/>
      <c r="J48" s="122"/>
      <c r="K48" s="122"/>
      <c r="L48" s="122"/>
      <c r="M48" s="122"/>
      <c r="N48" s="122"/>
      <c r="O48" s="122"/>
      <c r="P48" s="1717"/>
      <c r="Q48" s="1717"/>
      <c r="R48" s="1717"/>
      <c r="S48" s="1717"/>
      <c r="T48" s="1717"/>
      <c r="U48" s="1717"/>
      <c r="V48" s="1717"/>
      <c r="W48" s="1717"/>
      <c r="X48" s="1717"/>
    </row>
    <row r="49" spans="1:24" ht="13.5" thickBot="1" x14ac:dyDescent="0.25">
      <c r="A49" s="122"/>
      <c r="B49" s="122"/>
      <c r="C49" s="122"/>
      <c r="D49" s="122"/>
      <c r="E49" s="122"/>
      <c r="F49" s="122"/>
      <c r="G49" s="3"/>
      <c r="H49" s="122"/>
      <c r="I49" s="122"/>
      <c r="J49" s="122"/>
      <c r="K49" s="122"/>
      <c r="L49" s="122"/>
      <c r="M49" s="122"/>
      <c r="N49" s="122"/>
      <c r="O49" s="122"/>
      <c r="P49" s="1717"/>
      <c r="Q49" s="1717"/>
      <c r="R49" s="1717"/>
      <c r="S49" s="1717"/>
      <c r="T49" s="1717"/>
      <c r="U49" s="1717"/>
      <c r="V49" s="1717"/>
      <c r="W49" s="1717"/>
      <c r="X49" s="1717"/>
    </row>
    <row r="50" spans="1:24" s="122" customFormat="1" ht="43.5" thickBot="1" x14ac:dyDescent="0.25">
      <c r="A50" s="1149" t="s">
        <v>427</v>
      </c>
      <c r="B50" s="1039">
        <f>B45-SUM(B51:B52)</f>
        <v>0</v>
      </c>
      <c r="C50" s="1040">
        <f>C45-SUM(C51:C52)</f>
        <v>0</v>
      </c>
      <c r="D50" s="1040">
        <f>D45-SUM(D51:D52)</f>
        <v>0</v>
      </c>
      <c r="E50" s="1040">
        <f>E45-SUM(E51:E52)</f>
        <v>0</v>
      </c>
      <c r="F50" s="1041">
        <f>SUM(B50:E50)</f>
        <v>0</v>
      </c>
      <c r="G50" s="1"/>
      <c r="H50" s="1039">
        <f>H45-SUM(H51:H52)</f>
        <v>0</v>
      </c>
      <c r="I50" s="1040">
        <f>I45-SUM(I51:I52)</f>
        <v>0</v>
      </c>
      <c r="J50" s="1041">
        <f>SUM(H50:I50)</f>
        <v>0</v>
      </c>
      <c r="K50" s="1095" t="str">
        <f>IF(AND(ROUND(F50+J50,0)=ROUND(F106+I106-B40-B41-B43,0)),"OK","WARNING - Sum not matching")</f>
        <v>WARNING - Sum not matching</v>
      </c>
      <c r="P50" s="1717"/>
      <c r="Q50" s="1717"/>
      <c r="R50" s="1717"/>
      <c r="S50" s="1717"/>
      <c r="T50" s="1717"/>
      <c r="U50" s="1717"/>
      <c r="V50" s="1717"/>
      <c r="W50" s="1717"/>
      <c r="X50" s="1717"/>
    </row>
    <row r="51" spans="1:24" s="122" customFormat="1" ht="15" thickBot="1" x14ac:dyDescent="0.25">
      <c r="A51" s="1150" t="s">
        <v>428</v>
      </c>
      <c r="B51" s="1042">
        <f>IF('Request and Recommendation_8B'!B105-$B$42-$B$44&lt;=0,0,'Request and Recommendation_8B'!B105-$B$42-$B$44)</f>
        <v>0</v>
      </c>
      <c r="C51" s="1038">
        <f>IF('Request and Recommendation_8B'!B105+'Request and Recommendation_8B'!C105-$B$42-$B$44&lt;=0,0,'Request and Recommendation_8B'!B105+'Request and Recommendation_8B'!C105-B51-$B$42-$B$44)</f>
        <v>0</v>
      </c>
      <c r="D51" s="1038">
        <f>IF('Request and Recommendation_8B'!B105+'Request and Recommendation_8B'!C105+'Request and Recommendation_8B'!D105-$B$42-$B$44&lt;=0,0,'Request and Recommendation_8B'!B105+'Request and Recommendation_8B'!C105+'Request and Recommendation_8B'!D105-C51-B51-$B$42-$B$44)</f>
        <v>0</v>
      </c>
      <c r="E51" s="1038">
        <f>IF('Request and Recommendation_8B'!B105+'Request and Recommendation_8B'!C105+'Request and Recommendation_8B'!D105+'Request and Recommendation_8B'!E105-$B$42-$B$44&lt;=0,0,'Request and Recommendation_8B'!B105+'Request and Recommendation_8B'!C105+'Request and Recommendation_8B'!D105+'Request and Recommendation_8B'!E105-D51-C51-B51-$B$42-$B$44)</f>
        <v>0</v>
      </c>
      <c r="F51" s="1043">
        <f>SUM(B51:E51)</f>
        <v>0</v>
      </c>
      <c r="G51" s="1"/>
      <c r="H51" s="1042">
        <f>IF('Request and Recommendation_8B'!B105+'Request and Recommendation_8B'!C105+'Request and Recommendation_8B'!D105+'Request and Recommendation_8B'!E105+'Request and Recommendation_8B'!G105-$B$42-$B$44&lt;=0,0,'Request and Recommendation_8B'!B105+'Request and Recommendation_8B'!C105+'Request and Recommendation_8B'!D105+'Request and Recommendation_8B'!E105+'Request and Recommendation_8B'!G105-E51-D51-C51-B51-$B$42-$B$44)</f>
        <v>0</v>
      </c>
      <c r="I51" s="1038">
        <f>IF(('Request and Recommendation_8B'!B105+'Request and Recommendation_8B'!C105+'Request and Recommendation_8B'!D105+'Request and Recommendation_8B'!E105+'Request and Recommendation_8B'!G105+'Request and Recommendation_8B'!H105)-$B$42-$B$44&lt;=0,0,('Request and Recommendation_8B'!B105+'Request and Recommendation_8B'!C105+'Request and Recommendation_8B'!D105+'Request and Recommendation_8B'!E105+'Request and Recommendation_8B'!H105+'Request and Recommendation_8B'!G105)-B51-C51-D51-E51-H51-$B$42-$B$44)</f>
        <v>0</v>
      </c>
      <c r="J51" s="1041">
        <f>SUM(H51:I51)</f>
        <v>0</v>
      </c>
      <c r="K51" s="1095" t="str">
        <f>IF(AND(ROUND(F51+J51,0)=ROUND(F105+I105-B42-B44,0)),"OK","WARNING - Sum not matching")</f>
        <v>OK</v>
      </c>
      <c r="P51" s="1717"/>
      <c r="Q51" s="1717"/>
      <c r="R51" s="1717"/>
      <c r="S51" s="1717"/>
      <c r="T51" s="1717"/>
      <c r="U51" s="1717"/>
      <c r="V51" s="1717"/>
      <c r="W51" s="1717"/>
      <c r="X51" s="1717"/>
    </row>
    <row r="52" spans="1:24" s="122" customFormat="1" ht="29.25" thickBot="1" x14ac:dyDescent="0.25">
      <c r="A52" s="1150" t="s">
        <v>438</v>
      </c>
      <c r="B52" s="1005">
        <f>'Request and Recommendation_8B'!B107</f>
        <v>0</v>
      </c>
      <c r="C52" s="1006">
        <f>'Request and Recommendation_8B'!C107</f>
        <v>0</v>
      </c>
      <c r="D52" s="1006">
        <f>'Request and Recommendation_8B'!D107</f>
        <v>0</v>
      </c>
      <c r="E52" s="1006">
        <f>'Request and Recommendation_8B'!E107</f>
        <v>0</v>
      </c>
      <c r="F52" s="1007">
        <f>SUM(B52:E52)</f>
        <v>0</v>
      </c>
      <c r="G52" s="1"/>
      <c r="H52" s="1005">
        <f>'Request and Recommendation_8B'!G107</f>
        <v>0</v>
      </c>
      <c r="I52" s="1006">
        <f>'Request and Recommendation_8B'!H107</f>
        <v>0</v>
      </c>
      <c r="J52" s="1041">
        <f>SUM(H52:I52)</f>
        <v>0</v>
      </c>
      <c r="K52" s="1095" t="str">
        <f>IF(AND(ROUND(F52+J52,0)=ROUND(F107+I107,0)),"OK","WARNING - Sum not matching")</f>
        <v>OK</v>
      </c>
      <c r="P52" s="1717"/>
      <c r="Q52" s="1717"/>
      <c r="R52" s="1717"/>
      <c r="S52" s="1717"/>
      <c r="T52" s="1717"/>
      <c r="U52" s="1717"/>
      <c r="V52" s="1717"/>
      <c r="W52" s="1717"/>
      <c r="X52" s="1717"/>
    </row>
    <row r="53" spans="1:24" s="122" customFormat="1" ht="15" thickBot="1" x14ac:dyDescent="0.25">
      <c r="A53" s="1144" t="s">
        <v>274</v>
      </c>
      <c r="B53" s="1016">
        <f>SUM(B50:B52)</f>
        <v>0</v>
      </c>
      <c r="C53" s="1017">
        <f>SUM(C50:C52)</f>
        <v>0</v>
      </c>
      <c r="D53" s="1017">
        <f>SUM(D50:D52)</f>
        <v>0</v>
      </c>
      <c r="E53" s="1017">
        <f>SUM(E50:E52)</f>
        <v>0</v>
      </c>
      <c r="F53" s="1011">
        <f>SUM(F50:F52)</f>
        <v>0</v>
      </c>
      <c r="G53" s="1"/>
      <c r="H53" s="1016">
        <f>SUM(H50:H52)</f>
        <v>0</v>
      </c>
      <c r="I53" s="1017">
        <f>SUM(I50:I52)</f>
        <v>0</v>
      </c>
      <c r="J53" s="1011">
        <f>SUM(J50:J52)</f>
        <v>0</v>
      </c>
      <c r="K53" s="1004">
        <f>F53+J53</f>
        <v>0</v>
      </c>
      <c r="P53" s="1717"/>
      <c r="Q53" s="1717"/>
      <c r="R53" s="1717"/>
      <c r="S53" s="1717"/>
      <c r="T53" s="1717"/>
      <c r="U53" s="1717"/>
      <c r="V53" s="1717"/>
      <c r="W53" s="1717"/>
      <c r="X53" s="1717"/>
    </row>
    <row r="54" spans="1:24" s="122" customFormat="1" x14ac:dyDescent="0.2">
      <c r="G54" s="3"/>
    </row>
    <row r="55" spans="1:24" s="122" customFormat="1" ht="14.25" x14ac:dyDescent="0.2">
      <c r="G55" s="3"/>
      <c r="K55" s="1095" t="str">
        <f>IF(AND(ROUND(K45,0)=ROUND(K53,0)),"OK","WARNING - Sum not matching")</f>
        <v>OK</v>
      </c>
    </row>
    <row r="56" spans="1:24" x14ac:dyDescent="0.2">
      <c r="A56" s="122"/>
      <c r="B56" s="122"/>
      <c r="C56" s="122"/>
      <c r="D56" s="1133"/>
      <c r="E56" s="122"/>
      <c r="F56" s="122"/>
      <c r="G56" s="3"/>
      <c r="H56" s="122"/>
      <c r="I56" s="122"/>
      <c r="J56" s="122"/>
      <c r="K56" s="122"/>
      <c r="L56" s="122"/>
      <c r="M56" s="122"/>
      <c r="N56" s="122"/>
      <c r="O56" s="122"/>
      <c r="P56" s="122"/>
      <c r="Q56" s="122"/>
      <c r="R56" s="122"/>
      <c r="S56" s="122"/>
      <c r="T56" s="122"/>
      <c r="U56" s="122"/>
    </row>
    <row r="57" spans="1:24" x14ac:dyDescent="0.2">
      <c r="A57" s="122"/>
      <c r="B57" s="122"/>
      <c r="C57" s="122"/>
      <c r="D57" s="122"/>
      <c r="E57" s="122"/>
      <c r="F57" s="122"/>
      <c r="G57" s="3"/>
      <c r="H57" s="122"/>
      <c r="I57" s="122"/>
      <c r="J57" s="122"/>
      <c r="K57" s="122"/>
      <c r="L57" s="122"/>
      <c r="M57" s="122"/>
      <c r="N57" s="122"/>
      <c r="O57" s="122"/>
      <c r="P57" s="122"/>
      <c r="Q57" s="122"/>
      <c r="R57" s="122"/>
      <c r="S57" s="122"/>
      <c r="T57" s="122"/>
      <c r="U57" s="122"/>
    </row>
    <row r="58" spans="1:24" x14ac:dyDescent="0.2">
      <c r="A58" s="122"/>
      <c r="B58" s="122"/>
      <c r="C58" s="122"/>
      <c r="D58" s="122"/>
      <c r="E58" s="122"/>
      <c r="F58" s="122"/>
      <c r="G58" s="3"/>
      <c r="H58" s="122"/>
      <c r="I58" s="122"/>
      <c r="J58" s="122"/>
      <c r="K58" s="122"/>
      <c r="L58" s="122"/>
      <c r="M58" s="122"/>
      <c r="N58" s="122"/>
      <c r="O58" s="122"/>
      <c r="P58" s="122"/>
      <c r="Q58" s="122"/>
      <c r="R58" s="122"/>
      <c r="S58" s="122"/>
      <c r="T58" s="122"/>
      <c r="U58" s="122"/>
    </row>
    <row r="59" spans="1:24" x14ac:dyDescent="0.2">
      <c r="A59" s="122"/>
      <c r="B59" s="122"/>
      <c r="C59" s="122"/>
      <c r="D59" s="122"/>
      <c r="E59" s="122"/>
      <c r="F59" s="122"/>
      <c r="G59" s="3"/>
      <c r="H59" s="122"/>
      <c r="I59" s="122"/>
      <c r="J59" s="122"/>
      <c r="K59" s="122"/>
      <c r="L59" s="122"/>
      <c r="M59" s="122"/>
      <c r="N59" s="122"/>
      <c r="O59" s="122"/>
      <c r="P59" s="122"/>
      <c r="Q59" s="122"/>
      <c r="R59" s="122"/>
      <c r="S59" s="122"/>
      <c r="T59" s="122"/>
      <c r="U59" s="122"/>
    </row>
    <row r="60" spans="1:24" ht="25.5" x14ac:dyDescent="0.35">
      <c r="A60" s="1156" t="s">
        <v>440</v>
      </c>
      <c r="B60" s="122"/>
      <c r="C60" s="122"/>
      <c r="D60" s="122"/>
      <c r="E60" s="122"/>
      <c r="F60" s="122"/>
      <c r="G60" s="3"/>
      <c r="H60" s="122"/>
      <c r="I60" s="122"/>
      <c r="J60" s="122"/>
      <c r="K60" s="122"/>
      <c r="L60" s="122"/>
      <c r="M60" s="122"/>
      <c r="N60" s="122"/>
      <c r="O60" s="122"/>
      <c r="P60" s="122"/>
      <c r="Q60" s="122"/>
      <c r="R60" s="122"/>
      <c r="S60" s="122"/>
      <c r="T60" s="122"/>
      <c r="U60" s="122"/>
    </row>
    <row r="61" spans="1:24" ht="30" customHeight="1" x14ac:dyDescent="0.2">
      <c r="A61" s="122"/>
      <c r="B61" s="1018" t="s">
        <v>15</v>
      </c>
      <c r="C61" s="1019" t="s">
        <v>16</v>
      </c>
      <c r="D61" s="1"/>
      <c r="E61" s="1000" t="s">
        <v>67</v>
      </c>
      <c r="F61" s="1"/>
      <c r="G61" s="1"/>
      <c r="H61" s="1"/>
      <c r="I61" s="1"/>
      <c r="J61" s="1"/>
      <c r="K61" s="1"/>
      <c r="L61" s="1"/>
      <c r="M61" s="1"/>
      <c r="N61" s="1"/>
      <c r="O61" s="1"/>
      <c r="P61" s="1"/>
      <c r="Q61" s="122"/>
      <c r="R61" s="122"/>
      <c r="S61" s="122"/>
      <c r="T61" s="122"/>
      <c r="U61" s="122"/>
    </row>
    <row r="62" spans="1:24" x14ac:dyDescent="0.2">
      <c r="A62" s="1"/>
      <c r="B62" s="122"/>
      <c r="C62" s="122"/>
      <c r="D62" s="122"/>
      <c r="E62" s="122"/>
      <c r="F62" s="122"/>
      <c r="G62" s="3"/>
      <c r="H62" s="122"/>
      <c r="I62" s="122"/>
      <c r="J62" s="122"/>
      <c r="K62" s="122"/>
      <c r="L62" s="122"/>
      <c r="M62" s="122"/>
      <c r="N62" s="122"/>
      <c r="O62" s="122"/>
      <c r="P62" s="122"/>
      <c r="Q62" s="122"/>
      <c r="R62" s="122"/>
      <c r="S62" s="122"/>
      <c r="T62" s="122"/>
      <c r="U62" s="122"/>
    </row>
    <row r="63" spans="1:24" ht="14.25" x14ac:dyDescent="0.2">
      <c r="A63" s="1020" t="s">
        <v>441</v>
      </c>
      <c r="B63" s="1157">
        <v>0</v>
      </c>
      <c r="C63" s="1158">
        <v>0</v>
      </c>
      <c r="D63" s="122"/>
      <c r="E63" s="1713"/>
      <c r="F63" s="1713"/>
      <c r="G63" s="1713"/>
      <c r="H63" s="1713"/>
      <c r="I63" s="1713"/>
      <c r="J63" s="1713"/>
      <c r="K63" s="1713"/>
      <c r="L63" s="122"/>
      <c r="M63" s="122"/>
      <c r="N63" s="122"/>
      <c r="O63" s="122"/>
      <c r="P63" s="122"/>
      <c r="Q63" s="122"/>
      <c r="R63" s="122"/>
      <c r="S63" s="122"/>
      <c r="T63" s="122"/>
      <c r="U63" s="122"/>
    </row>
    <row r="64" spans="1:24" ht="14.25" x14ac:dyDescent="0.2">
      <c r="A64" s="1020" t="s">
        <v>28</v>
      </c>
      <c r="B64" s="1157">
        <v>0</v>
      </c>
      <c r="C64" s="1158">
        <v>0</v>
      </c>
      <c r="D64" s="122"/>
      <c r="E64" s="1713"/>
      <c r="F64" s="1713"/>
      <c r="G64" s="1713"/>
      <c r="H64" s="1713"/>
      <c r="I64" s="1713"/>
      <c r="J64" s="1713"/>
      <c r="K64" s="1713"/>
      <c r="L64" s="122"/>
      <c r="M64" s="122"/>
      <c r="N64" s="122"/>
      <c r="O64" s="122"/>
      <c r="P64" s="122"/>
      <c r="Q64" s="122"/>
      <c r="R64" s="122"/>
      <c r="S64" s="122"/>
      <c r="T64" s="122"/>
      <c r="U64" s="122"/>
    </row>
    <row r="65" spans="1:21" ht="28.5" x14ac:dyDescent="0.2">
      <c r="A65" s="1020" t="s">
        <v>14</v>
      </c>
      <c r="B65" s="1159">
        <v>0</v>
      </c>
      <c r="C65" s="1158">
        <v>0</v>
      </c>
      <c r="D65" s="1021"/>
      <c r="E65" s="1713"/>
      <c r="F65" s="1713"/>
      <c r="G65" s="1713"/>
      <c r="H65" s="1713"/>
      <c r="I65" s="1713"/>
      <c r="J65" s="1713"/>
      <c r="K65" s="1713"/>
      <c r="L65" s="122"/>
      <c r="M65" s="122"/>
      <c r="N65" s="122"/>
      <c r="O65" s="122"/>
      <c r="P65" s="122"/>
      <c r="Q65" s="122"/>
      <c r="R65" s="122"/>
      <c r="S65" s="122"/>
      <c r="T65" s="122"/>
      <c r="U65" s="122"/>
    </row>
    <row r="66" spans="1:21" x14ac:dyDescent="0.2">
      <c r="A66" s="122"/>
      <c r="B66" s="1022"/>
      <c r="C66" s="122"/>
      <c r="D66" s="122"/>
      <c r="E66" s="122"/>
      <c r="F66" s="122"/>
      <c r="G66" s="3"/>
      <c r="H66" s="122"/>
      <c r="I66" s="122"/>
      <c r="J66" s="122"/>
      <c r="K66" s="122"/>
      <c r="L66" s="122"/>
      <c r="M66" s="122"/>
      <c r="N66" s="122"/>
      <c r="O66" s="122"/>
      <c r="P66" s="122"/>
      <c r="Q66" s="122"/>
      <c r="R66" s="122"/>
      <c r="S66" s="122"/>
      <c r="T66" s="122"/>
      <c r="U66" s="122"/>
    </row>
    <row r="67" spans="1:21" x14ac:dyDescent="0.2">
      <c r="A67" s="122"/>
      <c r="B67" s="122"/>
      <c r="C67" s="122"/>
      <c r="D67" s="122"/>
      <c r="E67" s="122"/>
      <c r="F67" s="122"/>
      <c r="G67" s="3"/>
      <c r="H67" s="122"/>
      <c r="I67" s="122"/>
      <c r="J67" s="122"/>
      <c r="K67" s="122"/>
      <c r="L67" s="122"/>
      <c r="M67" s="122"/>
      <c r="N67" s="122"/>
      <c r="O67" s="122"/>
      <c r="P67" s="122"/>
      <c r="Q67" s="122"/>
      <c r="R67" s="122"/>
      <c r="S67" s="122"/>
      <c r="T67" s="122"/>
      <c r="U67" s="122"/>
    </row>
    <row r="68" spans="1:21" ht="14.25" x14ac:dyDescent="0.2">
      <c r="A68" s="122"/>
      <c r="B68" s="122"/>
      <c r="C68" s="122"/>
      <c r="D68" s="122"/>
      <c r="E68" s="1714" t="s">
        <v>161</v>
      </c>
      <c r="F68" s="1715"/>
      <c r="G68" s="1715"/>
      <c r="H68" s="1715"/>
      <c r="I68" s="1715"/>
      <c r="J68" s="1716"/>
      <c r="K68" s="122"/>
      <c r="L68" s="122"/>
      <c r="M68" s="122"/>
      <c r="N68" s="122"/>
      <c r="O68" s="122"/>
      <c r="P68" s="122"/>
      <c r="Q68" s="122"/>
      <c r="R68" s="122"/>
      <c r="S68" s="122"/>
      <c r="T68" s="122"/>
      <c r="U68" s="122"/>
    </row>
    <row r="69" spans="1:21" x14ac:dyDescent="0.2">
      <c r="A69" s="122"/>
      <c r="B69" s="122"/>
      <c r="C69" s="122"/>
      <c r="D69" s="122"/>
      <c r="E69" s="122"/>
      <c r="F69" s="122"/>
      <c r="G69" s="3"/>
      <c r="H69" s="122"/>
      <c r="I69" s="122"/>
      <c r="J69" s="122"/>
      <c r="K69" s="122"/>
      <c r="L69" s="122"/>
      <c r="M69" s="122"/>
      <c r="N69" s="122"/>
      <c r="O69" s="122"/>
      <c r="P69" s="122"/>
      <c r="Q69" s="122"/>
      <c r="R69" s="122"/>
      <c r="S69" s="122"/>
      <c r="T69" s="122"/>
      <c r="U69" s="122"/>
    </row>
    <row r="70" spans="1:21" x14ac:dyDescent="0.2">
      <c r="A70" s="122"/>
      <c r="B70" s="122"/>
      <c r="C70" s="122"/>
      <c r="D70" s="122"/>
      <c r="E70" s="1717"/>
      <c r="F70" s="1717"/>
      <c r="G70" s="1717"/>
      <c r="H70" s="1717"/>
      <c r="I70" s="1717"/>
      <c r="J70" s="1717"/>
      <c r="K70" s="1717"/>
      <c r="L70" s="122"/>
      <c r="M70" s="122"/>
      <c r="N70" s="122"/>
      <c r="O70" s="122"/>
      <c r="P70" s="122"/>
      <c r="Q70" s="122"/>
      <c r="R70" s="122"/>
      <c r="S70" s="122"/>
      <c r="T70" s="122"/>
      <c r="U70" s="122"/>
    </row>
    <row r="71" spans="1:21" x14ac:dyDescent="0.2">
      <c r="A71" s="122"/>
      <c r="B71" s="122"/>
      <c r="C71" s="122"/>
      <c r="D71" s="122"/>
      <c r="E71" s="1717"/>
      <c r="F71" s="1717"/>
      <c r="G71" s="1717"/>
      <c r="H71" s="1717"/>
      <c r="I71" s="1717"/>
      <c r="J71" s="1717"/>
      <c r="K71" s="1717"/>
      <c r="L71" s="122"/>
      <c r="M71" s="122"/>
      <c r="N71" s="122"/>
      <c r="O71" s="122"/>
      <c r="P71" s="122"/>
      <c r="Q71" s="122"/>
      <c r="R71" s="122"/>
      <c r="S71" s="122"/>
      <c r="T71" s="122"/>
      <c r="U71" s="122"/>
    </row>
    <row r="72" spans="1:21" x14ac:dyDescent="0.2">
      <c r="A72" s="122"/>
      <c r="B72" s="122"/>
      <c r="C72" s="122"/>
      <c r="D72" s="122"/>
      <c r="E72" s="1717"/>
      <c r="F72" s="1717"/>
      <c r="G72" s="1717"/>
      <c r="H72" s="1717"/>
      <c r="I72" s="1717"/>
      <c r="J72" s="1717"/>
      <c r="K72" s="1717"/>
      <c r="L72" s="122"/>
      <c r="M72" s="122"/>
      <c r="N72" s="122"/>
      <c r="O72" s="122"/>
      <c r="P72" s="122"/>
      <c r="Q72" s="122"/>
      <c r="R72" s="122"/>
      <c r="S72" s="122"/>
      <c r="T72" s="122"/>
      <c r="U72" s="122"/>
    </row>
    <row r="73" spans="1:21" x14ac:dyDescent="0.2">
      <c r="A73" s="122"/>
      <c r="B73" s="122"/>
      <c r="C73" s="122"/>
      <c r="D73" s="122"/>
      <c r="E73" s="1717"/>
      <c r="F73" s="1717"/>
      <c r="G73" s="1717"/>
      <c r="H73" s="1717"/>
      <c r="I73" s="1717"/>
      <c r="J73" s="1717"/>
      <c r="K73" s="1717"/>
      <c r="L73" s="122"/>
      <c r="M73" s="122"/>
      <c r="N73" s="122"/>
      <c r="O73" s="122"/>
      <c r="P73" s="122"/>
      <c r="Q73" s="122"/>
      <c r="R73" s="122"/>
      <c r="S73" s="122"/>
      <c r="T73" s="122"/>
      <c r="U73" s="122"/>
    </row>
    <row r="74" spans="1:21" x14ac:dyDescent="0.2">
      <c r="A74" s="122"/>
      <c r="B74" s="122"/>
      <c r="C74" s="122"/>
      <c r="D74" s="122"/>
      <c r="E74" s="1717"/>
      <c r="F74" s="1717"/>
      <c r="G74" s="1717"/>
      <c r="H74" s="1717"/>
      <c r="I74" s="1717"/>
      <c r="J74" s="1717"/>
      <c r="K74" s="1717"/>
      <c r="L74" s="122"/>
      <c r="M74" s="122"/>
      <c r="N74" s="122"/>
      <c r="O74" s="122"/>
      <c r="P74" s="122"/>
      <c r="Q74" s="122"/>
      <c r="R74" s="122"/>
      <c r="S74" s="122"/>
      <c r="T74" s="122"/>
      <c r="U74" s="122"/>
    </row>
    <row r="75" spans="1:21" x14ac:dyDescent="0.2">
      <c r="A75" s="122"/>
      <c r="B75" s="122"/>
      <c r="C75" s="122"/>
      <c r="D75" s="122"/>
      <c r="E75" s="122"/>
      <c r="F75" s="122"/>
      <c r="G75" s="3"/>
      <c r="H75" s="122"/>
      <c r="I75" s="122"/>
      <c r="J75" s="122"/>
      <c r="K75" s="122"/>
      <c r="L75" s="122"/>
      <c r="M75" s="122"/>
      <c r="N75" s="122"/>
      <c r="O75" s="122"/>
      <c r="P75" s="122"/>
      <c r="Q75" s="122"/>
      <c r="R75" s="122"/>
      <c r="S75" s="122"/>
      <c r="T75" s="122"/>
      <c r="U75" s="122"/>
    </row>
    <row r="76" spans="1:21" x14ac:dyDescent="0.2">
      <c r="A76" s="122"/>
      <c r="B76" s="122"/>
      <c r="C76" s="122"/>
      <c r="D76" s="122"/>
      <c r="E76" s="122"/>
      <c r="F76" s="122"/>
      <c r="G76" s="3"/>
      <c r="H76" s="122"/>
      <c r="I76" s="122"/>
      <c r="J76" s="122"/>
      <c r="K76" s="122"/>
      <c r="L76" s="122"/>
      <c r="M76" s="122"/>
      <c r="N76" s="122"/>
      <c r="O76" s="122"/>
      <c r="P76" s="122"/>
      <c r="Q76" s="122"/>
      <c r="R76" s="122"/>
      <c r="S76" s="122"/>
      <c r="T76" s="122"/>
      <c r="U76" s="122"/>
    </row>
    <row r="77" spans="1:21" s="122" customFormat="1" x14ac:dyDescent="0.2">
      <c r="G77" s="3"/>
    </row>
    <row r="78" spans="1:21" s="122" customFormat="1" x14ac:dyDescent="0.2">
      <c r="G78" s="3"/>
    </row>
    <row r="79" spans="1:21" s="122" customFormat="1" x14ac:dyDescent="0.2">
      <c r="G79" s="3"/>
    </row>
    <row r="80" spans="1:21" s="122" customFormat="1" x14ac:dyDescent="0.2">
      <c r="G80" s="3"/>
    </row>
    <row r="81" spans="7:7" s="122" customFormat="1" x14ac:dyDescent="0.2">
      <c r="G81" s="3"/>
    </row>
    <row r="82" spans="7:7" s="122" customFormat="1" x14ac:dyDescent="0.2">
      <c r="G82" s="3"/>
    </row>
    <row r="83" spans="7:7" s="122" customFormat="1" x14ac:dyDescent="0.2">
      <c r="G83" s="3"/>
    </row>
    <row r="84" spans="7:7" s="122" customFormat="1" x14ac:dyDescent="0.2">
      <c r="G84" s="3"/>
    </row>
    <row r="85" spans="7:7" s="122" customFormat="1" x14ac:dyDescent="0.2">
      <c r="G85" s="3"/>
    </row>
    <row r="86" spans="7:7" s="122" customFormat="1" x14ac:dyDescent="0.2">
      <c r="G86" s="3"/>
    </row>
    <row r="87" spans="7:7" s="122" customFormat="1" x14ac:dyDescent="0.2">
      <c r="G87" s="3"/>
    </row>
    <row r="88" spans="7:7" s="122" customFormat="1" x14ac:dyDescent="0.2">
      <c r="G88" s="3"/>
    </row>
    <row r="89" spans="7:7" s="122" customFormat="1" x14ac:dyDescent="0.2">
      <c r="G89" s="3"/>
    </row>
    <row r="90" spans="7:7" s="122" customFormat="1" x14ac:dyDescent="0.2">
      <c r="G90" s="3"/>
    </row>
    <row r="91" spans="7:7" s="122" customFormat="1" x14ac:dyDescent="0.2">
      <c r="G91" s="3"/>
    </row>
    <row r="92" spans="7:7" s="122" customFormat="1" x14ac:dyDescent="0.2">
      <c r="G92" s="3"/>
    </row>
    <row r="93" spans="7:7" s="122" customFormat="1" x14ac:dyDescent="0.2">
      <c r="G93" s="3"/>
    </row>
    <row r="94" spans="7:7" s="122" customFormat="1" x14ac:dyDescent="0.2">
      <c r="G94" s="3"/>
    </row>
    <row r="95" spans="7:7" s="122" customFormat="1" x14ac:dyDescent="0.2">
      <c r="G95" s="3"/>
    </row>
    <row r="96" spans="7:7" s="122" customFormat="1" x14ac:dyDescent="0.2">
      <c r="G96" s="3"/>
    </row>
    <row r="97" spans="1:9" s="122" customFormat="1" ht="14.25" customHeight="1" x14ac:dyDescent="0.2">
      <c r="A97" s="1160"/>
      <c r="B97" s="1160"/>
      <c r="C97" s="1160"/>
      <c r="D97" s="1160"/>
      <c r="E97" s="1160"/>
      <c r="F97" s="1160"/>
      <c r="G97" s="375"/>
      <c r="H97" s="1160"/>
      <c r="I97" s="1160"/>
    </row>
    <row r="98" spans="1:9" s="122" customFormat="1" ht="14.25" customHeight="1" x14ac:dyDescent="0.2">
      <c r="A98" s="1160"/>
      <c r="B98" s="1160"/>
      <c r="C98" s="1160"/>
      <c r="D98" s="1160"/>
      <c r="E98" s="1160"/>
      <c r="F98" s="1160"/>
      <c r="G98" s="375"/>
      <c r="H98" s="1160"/>
      <c r="I98" s="1160"/>
    </row>
    <row r="99" spans="1:9" s="122" customFormat="1" ht="14.25" customHeight="1" x14ac:dyDescent="0.2">
      <c r="A99" s="1160"/>
      <c r="B99" s="1160"/>
      <c r="C99" s="1160"/>
      <c r="D99" s="1160"/>
      <c r="E99" s="1160"/>
      <c r="F99" s="1160"/>
      <c r="G99" s="375"/>
      <c r="H99" s="1160"/>
      <c r="I99" s="1160"/>
    </row>
    <row r="100" spans="1:9" s="122" customFormat="1" ht="14.25" customHeight="1" x14ac:dyDescent="0.2">
      <c r="A100" s="1160"/>
      <c r="B100" s="1160"/>
      <c r="C100" s="1160"/>
      <c r="D100" s="1160"/>
      <c r="E100" s="1160"/>
      <c r="F100" s="1160"/>
      <c r="G100" s="375"/>
      <c r="H100" s="1160"/>
      <c r="I100" s="1160"/>
    </row>
    <row r="101" spans="1:9" s="122" customFormat="1" ht="14.25" hidden="1" customHeight="1" x14ac:dyDescent="0.2">
      <c r="A101" s="1044" t="s">
        <v>426</v>
      </c>
      <c r="B101" s="1045">
        <f>IFERROR(VLOOKUP($A101,'Cash Forecast_8A'!$B$84:$J$94,2,FALSE),"")</f>
        <v>705914.63008669997</v>
      </c>
      <c r="C101" s="1045">
        <f>IFERROR(VLOOKUP($A101,'Cash Forecast_8A'!$B$84:$J$94,3,FALSE),"")</f>
        <v>1524545.7024447001</v>
      </c>
      <c r="D101" s="1045">
        <f>IFERROR(VLOOKUP($A101,'Cash Forecast_8A'!$B$84:$J$94,4,FALSE),"")</f>
        <v>1108922.3782796999</v>
      </c>
      <c r="E101" s="1045">
        <f>IFERROR(VLOOKUP($A101,'Cash Forecast_8A'!$B$84:$J$94,5,FALSE),"")</f>
        <v>473041.7715037</v>
      </c>
      <c r="F101" s="1045">
        <f>IFERROR(VLOOKUP($A101,'Cash Forecast_8A'!$B$84:$J$94,6,FALSE),"")</f>
        <v>3812424.4823147999</v>
      </c>
      <c r="G101" s="1045">
        <f>IFERROR(VLOOKUP($A101,'Cash Forecast_8A'!$B$84:$J$94,7,FALSE),"")</f>
        <v>515541.46779620001</v>
      </c>
      <c r="H101" s="1045">
        <f>IFERROR(VLOOKUP($A101,'Cash Forecast_8A'!$B$84:$J$94,8,FALSE),"")</f>
        <v>1002225.2847092</v>
      </c>
      <c r="I101" s="1045">
        <f>IFERROR(VLOOKUP($A101,'Cash Forecast_8A'!$B$84:$J$94,9,FALSE),"")</f>
        <v>1517766.7525054</v>
      </c>
    </row>
    <row r="102" spans="1:9" s="122" customFormat="1" ht="14.25" hidden="1" customHeight="1" x14ac:dyDescent="0.2">
      <c r="A102" s="1044" t="s">
        <v>428</v>
      </c>
      <c r="B102" s="1045">
        <f>IFERROR(VLOOKUP($A102,'Cash Forecast_8A'!$B$84:$J$94,2,FALSE),"")</f>
        <v>0</v>
      </c>
      <c r="C102" s="1045">
        <f>IFERROR(VLOOKUP($A102,'Cash Forecast_8A'!$B$84:$J$94,3,FALSE),"")</f>
        <v>0</v>
      </c>
      <c r="D102" s="1045">
        <f>IFERROR(VLOOKUP($A102,'Cash Forecast_8A'!$B$84:$J$94,4,FALSE),"")</f>
        <v>339520.80769836786</v>
      </c>
      <c r="E102" s="1045">
        <f>IFERROR(VLOOKUP($A102,'Cash Forecast_8A'!$B$84:$J$94,5,FALSE),"")</f>
        <v>0</v>
      </c>
      <c r="F102" s="1045">
        <f>IFERROR(VLOOKUP($A102,'Cash Forecast_8A'!$B$84:$J$94,6,FALSE),"")</f>
        <v>339520.80769836786</v>
      </c>
      <c r="G102" s="1045">
        <f>IFERROR(VLOOKUP($A102,'Cash Forecast_8A'!$B$84:$J$94,7,FALSE),"")</f>
        <v>0</v>
      </c>
      <c r="H102" s="1045">
        <f>IFERROR(VLOOKUP($A102,'Cash Forecast_8A'!$B$84:$J$94,8,FALSE),"")</f>
        <v>0</v>
      </c>
      <c r="I102" s="1045">
        <f>IFERROR(VLOOKUP($A102,'Cash Forecast_8A'!$B$84:$J$94,9,FALSE),"")</f>
        <v>0</v>
      </c>
    </row>
    <row r="103" spans="1:9" s="122" customFormat="1" ht="14.25" hidden="1" customHeight="1" x14ac:dyDescent="0.2">
      <c r="A103" s="1044" t="s">
        <v>427</v>
      </c>
      <c r="B103" s="1045">
        <f>IFERROR(VLOOKUP($A103,'Cash Forecast_8A'!$B$84:$J$94,2,FALSE),"")</f>
        <v>285703.19782844884</v>
      </c>
      <c r="C103" s="1045">
        <f>IFERROR(VLOOKUP($A103,'Cash Forecast_8A'!$B$84:$J$94,3,FALSE),"")</f>
        <v>1362751.414428236</v>
      </c>
      <c r="D103" s="1045">
        <f>IFERROR(VLOOKUP($A103,'Cash Forecast_8A'!$B$84:$J$94,4,FALSE),"")</f>
        <v>1734639.7182754413</v>
      </c>
      <c r="E103" s="1045">
        <f>IFERROR(VLOOKUP($A103,'Cash Forecast_8A'!$B$84:$J$94,5,FALSE),"")</f>
        <v>1143270.0945609675</v>
      </c>
      <c r="F103" s="1045">
        <f>IFERROR(VLOOKUP($A103,'Cash Forecast_8A'!$B$84:$J$94,6,FALSE),"")</f>
        <v>4526364.4250930939</v>
      </c>
      <c r="G103" s="1045">
        <f>IFERROR(VLOOKUP($A103,'Cash Forecast_8A'!$B$84:$J$94,7,FALSE),"")</f>
        <v>515541.46780726442</v>
      </c>
      <c r="H103" s="1045">
        <f>IFERROR(VLOOKUP($A103,'Cash Forecast_8A'!$B$84:$J$94,8,FALSE),"")</f>
        <v>0</v>
      </c>
      <c r="I103" s="1045">
        <f>IFERROR(VLOOKUP($A103,'Cash Forecast_8A'!$B$84:$J$94,9,FALSE),"")</f>
        <v>515541.46780726442</v>
      </c>
    </row>
    <row r="104" spans="1:9" s="122" customFormat="1" ht="14.25" hidden="1" x14ac:dyDescent="0.2">
      <c r="A104" s="1044" t="s">
        <v>583</v>
      </c>
      <c r="B104" s="1045">
        <f>IFERROR(VLOOKUP($A104,'Cash Forecast_8A'!$B$84:$J$94,2,FALSE),"")</f>
        <v>0</v>
      </c>
      <c r="C104" s="1045">
        <f>IFERROR(VLOOKUP($A104,'Cash Forecast_8A'!$B$84:$J$94,3,FALSE),"")</f>
        <v>0</v>
      </c>
      <c r="D104" s="1045">
        <f>IFERROR(VLOOKUP($A104,'Cash Forecast_8A'!$B$84:$J$94,4,FALSE),"")</f>
        <v>0</v>
      </c>
      <c r="E104" s="1045">
        <f>IFERROR(VLOOKUP($A104,'Cash Forecast_8A'!$B$84:$J$94,5,FALSE),"")</f>
        <v>0</v>
      </c>
      <c r="F104" s="1045">
        <f>IFERROR(VLOOKUP($A104,'Cash Forecast_8A'!$B$84:$J$94,6,FALSE),"")</f>
        <v>0</v>
      </c>
      <c r="G104" s="1045">
        <f>IFERROR(VLOOKUP($A104,'Cash Forecast_8A'!$B$84:$J$94,7,FALSE),"")</f>
        <v>0</v>
      </c>
      <c r="H104" s="1045">
        <f>IFERROR(VLOOKUP($A104,'Cash Forecast_8A'!$B$84:$J$94,8,FALSE),"")</f>
        <v>0</v>
      </c>
      <c r="I104" s="1045">
        <f>IFERROR(VLOOKUP($A104,'Cash Forecast_8A'!$B$84:$J$94,9,FALSE),"")</f>
        <v>0</v>
      </c>
    </row>
    <row r="105" spans="1:9" s="122" customFormat="1" ht="14.25" hidden="1" x14ac:dyDescent="0.2">
      <c r="A105" s="1044" t="s">
        <v>428</v>
      </c>
      <c r="B105" s="1045">
        <f>IFERROR(VLOOKUP($A105,'Cash Forecast_8A'!$B$95:$J$101,2,FALSE),"")</f>
        <v>0</v>
      </c>
      <c r="C105" s="1045">
        <f>IFERROR(VLOOKUP($A105,'Cash Forecast_8A'!$B$95:$J$101,3,FALSE),"")</f>
        <v>0</v>
      </c>
      <c r="D105" s="1045">
        <f>IFERROR(VLOOKUP($A105,'Cash Forecast_8A'!$B$95:$J$101,4,FALSE),"")</f>
        <v>0</v>
      </c>
      <c r="E105" s="1045">
        <f>IFERROR(VLOOKUP($A105,'Cash Forecast_8A'!$B$95:$J$101,5,FALSE),"")</f>
        <v>0</v>
      </c>
      <c r="F105" s="1045">
        <f>IFERROR(VLOOKUP($A105,'Cash Forecast_8A'!$B$95:$J$101,6,FALSE),"")</f>
        <v>0</v>
      </c>
      <c r="G105" s="1045">
        <f>IFERROR(VLOOKUP($A105,'Cash Forecast_8A'!$B$95:$J$101,7,FALSE),"")</f>
        <v>0</v>
      </c>
      <c r="H105" s="1045">
        <f>IFERROR(VLOOKUP($A105,'Cash Forecast_8A'!$B$95:$J$101,8,FALSE),"")</f>
        <v>0</v>
      </c>
      <c r="I105" s="1045">
        <f>IFERROR(VLOOKUP($A105,'Cash Forecast_8A'!$B$95:$J$101,9,FALSE),"")</f>
        <v>0</v>
      </c>
    </row>
    <row r="106" spans="1:9" s="122" customFormat="1" ht="14.25" hidden="1" x14ac:dyDescent="0.2">
      <c r="A106" s="1044" t="s">
        <v>427</v>
      </c>
      <c r="B106" s="1045">
        <f>IFERROR(VLOOKUP($A106,'Cash Forecast_8A'!$B$95:$J$101,2,FALSE),"")</f>
        <v>0</v>
      </c>
      <c r="C106" s="1045">
        <f>IFERROR(VLOOKUP($A106,'Cash Forecast_8A'!$B$95:$J$101,3,FALSE),"")</f>
        <v>0</v>
      </c>
      <c r="D106" s="1045">
        <f>IFERROR(VLOOKUP($A106,'Cash Forecast_8A'!$B$95:$J$101,4,FALSE),"")</f>
        <v>0</v>
      </c>
      <c r="E106" s="1045">
        <f>IFERROR(VLOOKUP($A106,'Cash Forecast_8A'!$B$95:$J$101,5,FALSE),"")</f>
        <v>0</v>
      </c>
      <c r="F106" s="1045">
        <f>IFERROR(VLOOKUP($A106,'Cash Forecast_8A'!$B$95:$J$101,6,FALSE),"")</f>
        <v>0</v>
      </c>
      <c r="G106" s="1045">
        <f>IFERROR(VLOOKUP($A106,'Cash Forecast_8A'!$B$95:$J$101,7,FALSE),"")</f>
        <v>0</v>
      </c>
      <c r="H106" s="1045">
        <f>IFERROR(VLOOKUP($A106,'Cash Forecast_8A'!$B$95:$J$101,8,FALSE),"")</f>
        <v>0</v>
      </c>
      <c r="I106" s="1045">
        <f>IFERROR(VLOOKUP($A106,'Cash Forecast_8A'!$B$95:$J$101,9,FALSE),"")</f>
        <v>0</v>
      </c>
    </row>
    <row r="107" spans="1:9" s="122" customFormat="1" ht="14.25" hidden="1" x14ac:dyDescent="0.2">
      <c r="A107" s="1044" t="s">
        <v>583</v>
      </c>
      <c r="B107" s="1045">
        <f>IFERROR(VLOOKUP($A107,'Cash Forecast_8A'!$B$95:$J$101,2,FALSE),"")</f>
        <v>0</v>
      </c>
      <c r="C107" s="1045">
        <f>IFERROR(VLOOKUP($A107,'Cash Forecast_8A'!$B$95:$J$101,3,FALSE),"")</f>
        <v>0</v>
      </c>
      <c r="D107" s="1045">
        <f>IFERROR(VLOOKUP($A107,'Cash Forecast_8A'!$B$95:$J$101,4,FALSE),"")</f>
        <v>0</v>
      </c>
      <c r="E107" s="1045">
        <f>IFERROR(VLOOKUP($A107,'Cash Forecast_8A'!$B$95:$J$101,5,FALSE),"")</f>
        <v>0</v>
      </c>
      <c r="F107" s="1045">
        <f>IFERROR(VLOOKUP($A107,'Cash Forecast_8A'!$B$95:$J$101,6,FALSE),"")</f>
        <v>0</v>
      </c>
      <c r="G107" s="1045">
        <f>IFERROR(VLOOKUP($A107,'Cash Forecast_8A'!$B$95:$J$101,7,FALSE),"")</f>
        <v>0</v>
      </c>
      <c r="H107" s="1045">
        <f>IFERROR(VLOOKUP($A107,'Cash Forecast_8A'!$B$95:$J$101,8,FALSE),"")</f>
        <v>0</v>
      </c>
      <c r="I107" s="1045">
        <f>IFERROR(VLOOKUP($A107,'Cash Forecast_8A'!$B$95:$J$101,9,FALSE),"")</f>
        <v>0</v>
      </c>
    </row>
    <row r="108" spans="1:9" s="122" customFormat="1" x14ac:dyDescent="0.2">
      <c r="A108" s="1160"/>
      <c r="B108" s="1160"/>
      <c r="C108" s="1160"/>
      <c r="D108" s="1160"/>
      <c r="E108" s="1160"/>
      <c r="F108" s="1160"/>
      <c r="G108" s="375"/>
      <c r="H108" s="1160"/>
      <c r="I108" s="1160"/>
    </row>
    <row r="109" spans="1:9" s="122" customFormat="1" x14ac:dyDescent="0.2">
      <c r="A109" s="1160"/>
      <c r="B109" s="1160"/>
      <c r="C109" s="1160"/>
      <c r="D109" s="1160"/>
      <c r="E109" s="1160"/>
      <c r="F109" s="1160"/>
      <c r="G109" s="375"/>
      <c r="H109" s="1160"/>
      <c r="I109" s="1160"/>
    </row>
    <row r="110" spans="1:9" s="122" customFormat="1" x14ac:dyDescent="0.2">
      <c r="A110" s="1160"/>
      <c r="B110" s="1160"/>
      <c r="C110" s="1160"/>
      <c r="D110" s="1160"/>
      <c r="E110" s="1160"/>
      <c r="F110" s="1160"/>
      <c r="G110" s="375"/>
      <c r="H110" s="1160"/>
      <c r="I110" s="1160"/>
    </row>
    <row r="111" spans="1:9" s="122" customFormat="1" x14ac:dyDescent="0.2">
      <c r="A111" s="1160"/>
      <c r="B111" s="1160"/>
      <c r="C111" s="1160"/>
      <c r="D111" s="1160"/>
      <c r="E111" s="1160"/>
      <c r="F111" s="1160"/>
      <c r="G111" s="375"/>
      <c r="H111" s="1160"/>
      <c r="I111" s="1160"/>
    </row>
    <row r="112" spans="1:9" s="122" customFormat="1" x14ac:dyDescent="0.2">
      <c r="G112" s="3"/>
    </row>
    <row r="113" spans="7:7" s="122" customFormat="1" x14ac:dyDescent="0.2">
      <c r="G113" s="3"/>
    </row>
    <row r="114" spans="7:7" s="122" customFormat="1" x14ac:dyDescent="0.2">
      <c r="G114" s="3"/>
    </row>
    <row r="115" spans="7:7" s="122" customFormat="1" x14ac:dyDescent="0.2">
      <c r="G115" s="3"/>
    </row>
    <row r="116" spans="7:7" s="122" customFormat="1" x14ac:dyDescent="0.2">
      <c r="G116" s="3"/>
    </row>
    <row r="117" spans="7:7" s="122" customFormat="1" x14ac:dyDescent="0.2">
      <c r="G117" s="3"/>
    </row>
    <row r="118" spans="7:7" x14ac:dyDescent="0.2">
      <c r="G118" s="3"/>
    </row>
    <row r="119" spans="7:7" x14ac:dyDescent="0.2">
      <c r="G119" s="3"/>
    </row>
    <row r="120" spans="7:7" x14ac:dyDescent="0.2">
      <c r="G120" s="3"/>
    </row>
    <row r="121" spans="7:7" x14ac:dyDescent="0.2">
      <c r="G121" s="3"/>
    </row>
  </sheetData>
  <sheetProtection algorithmName="SHA-512" hashValue="ThUriOwm9Or+0ACELzxVJZ0dzMfcGvUt+W95OJiovtIJrancCL4eIQTUw1sEsNBC/9n4d97tPg3ACTlpIvuuCA==" saltValue="YuGg/5LlG2DKq/+R6v/iwA==" spinCount="100000" sheet="1" objects="1" scenarios="1" formatColumns="0" formatRows="0" sort="0" autoFilter="0"/>
  <mergeCells count="22">
    <mergeCell ref="A1:R1"/>
    <mergeCell ref="A7:X7"/>
    <mergeCell ref="P8:X8"/>
    <mergeCell ref="B10:E10"/>
    <mergeCell ref="H10:I10"/>
    <mergeCell ref="P10:X27"/>
    <mergeCell ref="E3:H3"/>
    <mergeCell ref="E4:H4"/>
    <mergeCell ref="L15:L16"/>
    <mergeCell ref="L17:L18"/>
    <mergeCell ref="E64:K64"/>
    <mergeCell ref="E65:K65"/>
    <mergeCell ref="E68:J68"/>
    <mergeCell ref="E70:K74"/>
    <mergeCell ref="A33:X33"/>
    <mergeCell ref="B36:E36"/>
    <mergeCell ref="H36:I36"/>
    <mergeCell ref="P36:X53"/>
    <mergeCell ref="E63:K63"/>
    <mergeCell ref="P34:X34"/>
    <mergeCell ref="L41:L42"/>
    <mergeCell ref="L43:L44"/>
  </mergeCells>
  <conditionalFormatting sqref="L15:L16">
    <cfRule type="expression" dxfId="22" priority="20">
      <formula>L15="WARNING - Cash in Transit not matching"</formula>
    </cfRule>
  </conditionalFormatting>
  <conditionalFormatting sqref="L17:L18">
    <cfRule type="expression" dxfId="21" priority="19">
      <formula>L17="WARNING - Cash in Transit not matching"</formula>
    </cfRule>
  </conditionalFormatting>
  <conditionalFormatting sqref="K24">
    <cfRule type="expression" dxfId="20" priority="18">
      <formula>K24="WARNING - Sum not matching"</formula>
    </cfRule>
  </conditionalFormatting>
  <conditionalFormatting sqref="K24">
    <cfRule type="expression" dxfId="19" priority="17">
      <formula>K24="WARNING - Sum not matching"</formula>
    </cfRule>
  </conditionalFormatting>
  <conditionalFormatting sqref="K25">
    <cfRule type="expression" dxfId="18" priority="16">
      <formula>K25="WARNING - Sum not matching"</formula>
    </cfRule>
  </conditionalFormatting>
  <conditionalFormatting sqref="K25">
    <cfRule type="expression" dxfId="17" priority="15">
      <formula>K25="WARNING - Sum not matching"</formula>
    </cfRule>
  </conditionalFormatting>
  <conditionalFormatting sqref="K26">
    <cfRule type="expression" dxfId="16" priority="14">
      <formula>K26="WARNING - Sum not matching"</formula>
    </cfRule>
  </conditionalFormatting>
  <conditionalFormatting sqref="K26">
    <cfRule type="expression" dxfId="15" priority="13">
      <formula>K26="WARNING - Sum not matching"</formula>
    </cfRule>
  </conditionalFormatting>
  <conditionalFormatting sqref="K29">
    <cfRule type="expression" dxfId="14" priority="12">
      <formula>K29="WARNING - Sum not matching"</formula>
    </cfRule>
  </conditionalFormatting>
  <conditionalFormatting sqref="L41:L42">
    <cfRule type="expression" dxfId="13" priority="9">
      <formula>L41="WARNING - Cash in Transit not matching"</formula>
    </cfRule>
  </conditionalFormatting>
  <conditionalFormatting sqref="L43:L44">
    <cfRule type="expression" dxfId="12" priority="8">
      <formula>L43="WARNING - Cash in Transit not matching"</formula>
    </cfRule>
  </conditionalFormatting>
  <conditionalFormatting sqref="K50">
    <cfRule type="expression" dxfId="11" priority="7">
      <formula>K50="WARNING - Sum not matching"</formula>
    </cfRule>
  </conditionalFormatting>
  <conditionalFormatting sqref="K50">
    <cfRule type="expression" dxfId="10" priority="6">
      <formula>K50="WARNING - Sum not matching"</formula>
    </cfRule>
  </conditionalFormatting>
  <conditionalFormatting sqref="K51">
    <cfRule type="expression" dxfId="9" priority="5">
      <formula>K51="WARNING - Sum not matching"</formula>
    </cfRule>
  </conditionalFormatting>
  <conditionalFormatting sqref="K51">
    <cfRule type="expression" dxfId="8" priority="4">
      <formula>K51="WARNING - Sum not matching"</formula>
    </cfRule>
  </conditionalFormatting>
  <conditionalFormatting sqref="K52">
    <cfRule type="expression" dxfId="7" priority="3">
      <formula>K52="WARNING - Sum not matching"</formula>
    </cfRule>
  </conditionalFormatting>
  <conditionalFormatting sqref="K52">
    <cfRule type="expression" dxfId="6" priority="2">
      <formula>K52="WARNING - Sum not matching"</formula>
    </cfRule>
  </conditionalFormatting>
  <conditionalFormatting sqref="K55">
    <cfRule type="expression" dxfId="5" priority="1">
      <formula>K55="WARNING - Sum not matching"</formula>
    </cfRule>
  </conditionalFormatting>
  <pageMargins left="0.70866141732283472" right="0.70866141732283472" top="0.74803149606299213" bottom="0.74803149606299213" header="0.31496062992125984" footer="0.31496062992125984"/>
  <pageSetup paperSize="8" scale="51" orientation="landscape" r:id="rId1"/>
  <extLst>
    <ext xmlns:x14="http://schemas.microsoft.com/office/spreadsheetml/2009/9/main" uri="{78C0D931-6437-407d-A8EE-F0AAD7539E65}">
      <x14:conditionalFormattings>
        <x14:conditionalFormatting xmlns:xm="http://schemas.microsoft.com/office/excel/2006/main">
          <x14:cfRule type="expression" priority="21" id="{F3BAE180-FB3B-4C26-9958-63814B78E721}">
            <xm:f>CoverSheet!$D$11="EUR"</xm:f>
            <x14:dxf>
              <numFmt numFmtId="187" formatCode="[$€-2]\ #,##0.00;[Red]\-[$€-2]\ #,##0.00"/>
            </x14:dxf>
          </x14:cfRule>
          <xm:sqref>B14:B17 C17:F17 H17:K17 B22:F25 H22:J25 H36:K37 B38:B41 C41:F41 H41:K41 B46:F49 H46:J49 K49 B36:F37 B12:F13 H12:K13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P116"/>
  <sheetViews>
    <sheetView zoomScale="55" zoomScaleNormal="55" workbookViewId="0">
      <selection activeCell="E68" sqref="E68"/>
    </sheetView>
  </sheetViews>
  <sheetFormatPr defaultRowHeight="12.75" x14ac:dyDescent="0.2"/>
  <cols>
    <col min="1" max="1" width="9" customWidth="1"/>
    <col min="2" max="3" width="27.28515625" customWidth="1"/>
    <col min="4" max="4" width="27.28515625" style="1050" customWidth="1"/>
    <col min="5" max="9" width="27.28515625" customWidth="1"/>
    <col min="10" max="10" width="78.85546875" bestFit="1" customWidth="1"/>
    <col min="11" max="16" width="27.28515625" customWidth="1"/>
  </cols>
  <sheetData>
    <row r="2" spans="1:16" ht="30" x14ac:dyDescent="0.2">
      <c r="A2" s="1053" t="s">
        <v>609</v>
      </c>
      <c r="B2" s="1050"/>
      <c r="C2" s="1050"/>
      <c r="E2" s="1050"/>
      <c r="F2" s="1050"/>
      <c r="G2" s="1050"/>
      <c r="H2" s="1050"/>
      <c r="I2" s="1050"/>
      <c r="J2" s="1050"/>
      <c r="K2" s="1050"/>
      <c r="L2" s="1050"/>
      <c r="M2" s="1050"/>
      <c r="N2" s="1050"/>
      <c r="O2" s="1050"/>
      <c r="P2" s="1050"/>
    </row>
    <row r="3" spans="1:16" ht="13.5" thickBot="1" x14ac:dyDescent="0.25">
      <c r="A3" s="1050"/>
      <c r="B3" s="1050"/>
      <c r="C3" s="1050"/>
      <c r="E3" s="1050"/>
      <c r="F3" s="1050"/>
      <c r="G3" s="1050"/>
      <c r="H3" s="1050"/>
      <c r="I3" s="1050"/>
      <c r="J3" s="1050"/>
      <c r="K3" s="1050"/>
      <c r="L3" s="1050"/>
      <c r="M3" s="1050"/>
      <c r="N3" s="1050"/>
      <c r="O3" s="1050"/>
      <c r="P3" s="1050"/>
    </row>
    <row r="4" spans="1:16" ht="15.75" thickBot="1" x14ac:dyDescent="0.25">
      <c r="A4" s="1050"/>
      <c r="B4" s="1735" t="s">
        <v>70</v>
      </c>
      <c r="C4" s="1736"/>
      <c r="D4" s="1736"/>
      <c r="E4" s="1736"/>
      <c r="F4" s="1736"/>
      <c r="G4" s="1736"/>
      <c r="H4" s="1736"/>
      <c r="I4" s="1736"/>
      <c r="J4" s="1737"/>
      <c r="K4" s="1741" t="s">
        <v>115</v>
      </c>
      <c r="L4" s="1742"/>
      <c r="M4" s="1743"/>
      <c r="N4" s="1738" t="s">
        <v>101</v>
      </c>
      <c r="O4" s="1739"/>
      <c r="P4" s="1740"/>
    </row>
    <row r="5" spans="1:16" ht="63" customHeight="1" x14ac:dyDescent="0.2">
      <c r="A5" s="1068" t="s">
        <v>584</v>
      </c>
      <c r="B5" s="1067" t="s">
        <v>585</v>
      </c>
      <c r="C5" s="1067" t="s">
        <v>338</v>
      </c>
      <c r="D5" s="1067" t="s">
        <v>608</v>
      </c>
      <c r="E5" s="1067" t="s">
        <v>586</v>
      </c>
      <c r="F5" s="1067" t="s">
        <v>587</v>
      </c>
      <c r="G5" s="1067" t="s">
        <v>588</v>
      </c>
      <c r="H5" s="1067" t="s">
        <v>589</v>
      </c>
      <c r="I5" s="1067" t="s">
        <v>590</v>
      </c>
      <c r="J5" s="1067" t="s">
        <v>27</v>
      </c>
      <c r="K5" s="1066" t="s">
        <v>114</v>
      </c>
      <c r="L5" s="1066" t="s">
        <v>71</v>
      </c>
      <c r="M5" s="1065" t="s">
        <v>27</v>
      </c>
      <c r="N5" s="1064" t="s">
        <v>163</v>
      </c>
      <c r="O5" s="1063" t="s">
        <v>72</v>
      </c>
      <c r="P5" s="1062" t="s">
        <v>27</v>
      </c>
    </row>
    <row r="6" spans="1:16" ht="15" x14ac:dyDescent="0.25">
      <c r="A6" s="1090">
        <v>1</v>
      </c>
      <c r="B6" s="1052" t="s">
        <v>989</v>
      </c>
      <c r="C6" s="1052" t="s">
        <v>1067</v>
      </c>
      <c r="D6" s="1052" t="s">
        <v>1654</v>
      </c>
      <c r="E6" s="1060" t="s">
        <v>1591</v>
      </c>
      <c r="F6" s="1051">
        <v>76.097523339248511</v>
      </c>
      <c r="G6" s="1353" t="s">
        <v>1655</v>
      </c>
      <c r="H6" s="1354" t="s">
        <v>1656</v>
      </c>
      <c r="I6" s="1354">
        <v>43131</v>
      </c>
      <c r="J6" s="1091" t="s">
        <v>1657</v>
      </c>
      <c r="K6" s="1051"/>
      <c r="L6" s="1059">
        <f>F6+K6</f>
        <v>76.097523339248511</v>
      </c>
      <c r="M6" s="1091"/>
      <c r="N6" s="1061"/>
      <c r="O6" s="1056">
        <f>L6+N6</f>
        <v>76.097523339248511</v>
      </c>
      <c r="P6" s="1091"/>
    </row>
    <row r="7" spans="1:16" ht="71.25" x14ac:dyDescent="0.25">
      <c r="A7" s="1090">
        <v>2</v>
      </c>
      <c r="B7" s="1052" t="s">
        <v>989</v>
      </c>
      <c r="C7" s="1052" t="s">
        <v>1065</v>
      </c>
      <c r="D7" s="1052" t="s">
        <v>1658</v>
      </c>
      <c r="E7" s="1060" t="s">
        <v>1585</v>
      </c>
      <c r="F7" s="1051">
        <v>337.55111488311087</v>
      </c>
      <c r="G7" s="1353" t="s">
        <v>1655</v>
      </c>
      <c r="H7" s="1354">
        <v>43131</v>
      </c>
      <c r="I7" s="1354">
        <v>43131</v>
      </c>
      <c r="J7" s="1091" t="s">
        <v>1657</v>
      </c>
      <c r="K7" s="1051"/>
      <c r="L7" s="1059">
        <f t="shared" ref="L7:L55" si="0">F7+K7</f>
        <v>337.55111488311087</v>
      </c>
      <c r="M7" s="1091"/>
      <c r="N7" s="1057"/>
      <c r="O7" s="1056">
        <f t="shared" ref="O7:O55" si="1">L7+N7</f>
        <v>337.55111488311087</v>
      </c>
      <c r="P7" s="1091"/>
    </row>
    <row r="8" spans="1:16" ht="71.25" x14ac:dyDescent="0.25">
      <c r="A8" s="1090">
        <v>3</v>
      </c>
      <c r="B8" s="1052" t="s">
        <v>989</v>
      </c>
      <c r="C8" s="1052" t="s">
        <v>1067</v>
      </c>
      <c r="D8" s="1052" t="s">
        <v>1659</v>
      </c>
      <c r="E8" s="1060" t="s">
        <v>1586</v>
      </c>
      <c r="F8" s="1051">
        <v>351.0531594784353</v>
      </c>
      <c r="G8" s="1353" t="s">
        <v>1655</v>
      </c>
      <c r="H8" s="1354">
        <v>43131</v>
      </c>
      <c r="I8" s="1354">
        <v>43131</v>
      </c>
      <c r="J8" s="1091" t="s">
        <v>1657</v>
      </c>
      <c r="K8" s="1051"/>
      <c r="L8" s="1059">
        <f t="shared" si="0"/>
        <v>351.0531594784353</v>
      </c>
      <c r="M8" s="1091"/>
      <c r="N8" s="1057"/>
      <c r="O8" s="1056">
        <f t="shared" si="1"/>
        <v>351.0531594784353</v>
      </c>
      <c r="P8" s="1091"/>
    </row>
    <row r="9" spans="1:16" ht="99.75" x14ac:dyDescent="0.25">
      <c r="A9" s="1090">
        <v>4</v>
      </c>
      <c r="B9" s="1052" t="s">
        <v>989</v>
      </c>
      <c r="C9" s="1052" t="s">
        <v>1067</v>
      </c>
      <c r="D9" s="1052" t="s">
        <v>1660</v>
      </c>
      <c r="E9" s="1060" t="s">
        <v>1581</v>
      </c>
      <c r="F9" s="1051">
        <v>559.37041894915512</v>
      </c>
      <c r="G9" s="1353" t="s">
        <v>1655</v>
      </c>
      <c r="H9" s="1354">
        <v>43131</v>
      </c>
      <c r="I9" s="1354">
        <v>43131</v>
      </c>
      <c r="J9" s="1091" t="s">
        <v>1657</v>
      </c>
      <c r="K9" s="1051"/>
      <c r="L9" s="1059">
        <f t="shared" si="0"/>
        <v>559.37041894915512</v>
      </c>
      <c r="M9" s="1091"/>
      <c r="N9" s="1057"/>
      <c r="O9" s="1056">
        <f t="shared" si="1"/>
        <v>559.37041894915512</v>
      </c>
      <c r="P9" s="1091"/>
    </row>
    <row r="10" spans="1:16" ht="71.25" x14ac:dyDescent="0.25">
      <c r="A10" s="1090">
        <v>5</v>
      </c>
      <c r="B10" s="1052" t="s">
        <v>989</v>
      </c>
      <c r="C10" s="1052" t="s">
        <v>1067</v>
      </c>
      <c r="D10" s="1052" t="s">
        <v>1661</v>
      </c>
      <c r="E10" s="1060" t="s">
        <v>1587</v>
      </c>
      <c r="F10" s="1051">
        <v>1870.997608209243</v>
      </c>
      <c r="G10" s="1353" t="s">
        <v>1655</v>
      </c>
      <c r="H10" s="1354">
        <v>43131</v>
      </c>
      <c r="I10" s="1354">
        <v>43131</v>
      </c>
      <c r="J10" s="1091" t="s">
        <v>1657</v>
      </c>
      <c r="K10" s="1051"/>
      <c r="L10" s="1059">
        <f t="shared" si="0"/>
        <v>1870.997608209243</v>
      </c>
      <c r="M10" s="1091"/>
      <c r="N10" s="1057"/>
      <c r="O10" s="1056">
        <f t="shared" si="1"/>
        <v>1870.997608209243</v>
      </c>
      <c r="P10" s="1091"/>
    </row>
    <row r="11" spans="1:16" ht="15" x14ac:dyDescent="0.25">
      <c r="A11" s="1090">
        <v>6</v>
      </c>
      <c r="B11" s="1052" t="s">
        <v>989</v>
      </c>
      <c r="C11" s="1052" t="s">
        <v>1067</v>
      </c>
      <c r="D11" s="1052" t="s">
        <v>1662</v>
      </c>
      <c r="E11" s="1060" t="s">
        <v>1593</v>
      </c>
      <c r="F11" s="1051">
        <v>7167.7725484144739</v>
      </c>
      <c r="G11" s="1353" t="s">
        <v>1655</v>
      </c>
      <c r="H11" s="1354">
        <v>43131</v>
      </c>
      <c r="I11" s="1354">
        <v>43131</v>
      </c>
      <c r="J11" s="1091" t="s">
        <v>1657</v>
      </c>
      <c r="K11" s="1051"/>
      <c r="L11" s="1059">
        <f t="shared" si="0"/>
        <v>7167.7725484144739</v>
      </c>
      <c r="M11" s="1091"/>
      <c r="N11" s="1057"/>
      <c r="O11" s="1056">
        <f t="shared" si="1"/>
        <v>7167.7725484144739</v>
      </c>
      <c r="P11" s="1091"/>
    </row>
    <row r="12" spans="1:16" ht="28.5" x14ac:dyDescent="0.25">
      <c r="A12" s="1090">
        <v>7</v>
      </c>
      <c r="B12" s="1052" t="s">
        <v>989</v>
      </c>
      <c r="C12" s="1052" t="s">
        <v>1067</v>
      </c>
      <c r="D12" s="1052" t="s">
        <v>1663</v>
      </c>
      <c r="E12" s="1060" t="s">
        <v>1588</v>
      </c>
      <c r="F12" s="1051">
        <v>2006.0180541624875</v>
      </c>
      <c r="G12" s="1353" t="s">
        <v>1655</v>
      </c>
      <c r="H12" s="1354">
        <v>43131</v>
      </c>
      <c r="I12" s="1354">
        <v>43131</v>
      </c>
      <c r="J12" s="1091" t="s">
        <v>1657</v>
      </c>
      <c r="K12" s="1051"/>
      <c r="L12" s="1059">
        <f t="shared" si="0"/>
        <v>2006.0180541624875</v>
      </c>
      <c r="M12" s="1091"/>
      <c r="N12" s="1057"/>
      <c r="O12" s="1056">
        <f t="shared" si="1"/>
        <v>2006.0180541624875</v>
      </c>
      <c r="P12" s="1091"/>
    </row>
    <row r="13" spans="1:16" ht="28.5" x14ac:dyDescent="0.25">
      <c r="A13" s="1090">
        <v>8</v>
      </c>
      <c r="B13" s="1052" t="s">
        <v>989</v>
      </c>
      <c r="C13" s="1052" t="s">
        <v>1067</v>
      </c>
      <c r="D13" s="1052" t="s">
        <v>1664</v>
      </c>
      <c r="E13" s="1060" t="s">
        <v>1585</v>
      </c>
      <c r="F13" s="1051">
        <v>732.58236247203149</v>
      </c>
      <c r="G13" s="1353" t="s">
        <v>1655</v>
      </c>
      <c r="H13" s="1354">
        <v>43131</v>
      </c>
      <c r="I13" s="1354">
        <v>43131</v>
      </c>
      <c r="J13" s="1091" t="s">
        <v>1657</v>
      </c>
      <c r="K13" s="1051"/>
      <c r="L13" s="1059">
        <f t="shared" si="0"/>
        <v>732.58236247203149</v>
      </c>
      <c r="M13" s="1091"/>
      <c r="N13" s="1057"/>
      <c r="O13" s="1056">
        <f t="shared" si="1"/>
        <v>732.58236247203149</v>
      </c>
      <c r="P13" s="1091"/>
    </row>
    <row r="14" spans="1:16" ht="42.75" x14ac:dyDescent="0.25">
      <c r="A14" s="1090">
        <v>9</v>
      </c>
      <c r="B14" s="1052" t="s">
        <v>989</v>
      </c>
      <c r="C14" s="1052" t="s">
        <v>1067</v>
      </c>
      <c r="D14" s="1052" t="s">
        <v>1665</v>
      </c>
      <c r="E14" s="1060" t="s">
        <v>1586</v>
      </c>
      <c r="F14" s="1051">
        <v>2970.4498109713754</v>
      </c>
      <c r="G14" s="1353" t="s">
        <v>1655</v>
      </c>
      <c r="H14" s="1354">
        <v>43131</v>
      </c>
      <c r="I14" s="1354">
        <v>43131</v>
      </c>
      <c r="J14" s="1091" t="s">
        <v>1657</v>
      </c>
      <c r="K14" s="1051"/>
      <c r="L14" s="1059">
        <f t="shared" si="0"/>
        <v>2970.4498109713754</v>
      </c>
      <c r="M14" s="1091"/>
      <c r="N14" s="1057"/>
      <c r="O14" s="1056">
        <f t="shared" si="1"/>
        <v>2970.4498109713754</v>
      </c>
      <c r="P14" s="1091"/>
    </row>
    <row r="15" spans="1:16" ht="42.75" x14ac:dyDescent="0.25">
      <c r="A15" s="1090">
        <v>10</v>
      </c>
      <c r="B15" s="1052" t="s">
        <v>989</v>
      </c>
      <c r="C15" s="1052" t="s">
        <v>1067</v>
      </c>
      <c r="D15" s="1052" t="s">
        <v>1665</v>
      </c>
      <c r="E15" s="1060" t="s">
        <v>1592</v>
      </c>
      <c r="F15" s="1051">
        <v>27.837358228531748</v>
      </c>
      <c r="G15" s="1353" t="s">
        <v>1655</v>
      </c>
      <c r="H15" s="1354">
        <v>43131</v>
      </c>
      <c r="I15" s="1354">
        <v>43131</v>
      </c>
      <c r="J15" s="1091" t="s">
        <v>1657</v>
      </c>
      <c r="K15" s="1051"/>
      <c r="L15" s="1059">
        <f t="shared" si="0"/>
        <v>27.837358228531748</v>
      </c>
      <c r="M15" s="1091"/>
      <c r="N15" s="1057"/>
      <c r="O15" s="1056">
        <f t="shared" si="1"/>
        <v>27.837358228531748</v>
      </c>
      <c r="P15" s="1091"/>
    </row>
    <row r="16" spans="1:16" ht="28.5" x14ac:dyDescent="0.25">
      <c r="A16" s="1090">
        <v>11</v>
      </c>
      <c r="B16" s="1052" t="s">
        <v>1583</v>
      </c>
      <c r="C16" s="1052" t="s">
        <v>847</v>
      </c>
      <c r="D16" s="1052" t="s">
        <v>1666</v>
      </c>
      <c r="E16" s="1060" t="s">
        <v>1587</v>
      </c>
      <c r="F16" s="1051">
        <v>1813.1317028007097</v>
      </c>
      <c r="G16" s="1353" t="s">
        <v>1655</v>
      </c>
      <c r="H16" s="1354">
        <v>43131</v>
      </c>
      <c r="I16" s="1354">
        <v>43131</v>
      </c>
      <c r="J16" s="1091" t="s">
        <v>1657</v>
      </c>
      <c r="K16" s="1051"/>
      <c r="L16" s="1059">
        <f t="shared" si="0"/>
        <v>1813.1317028007097</v>
      </c>
      <c r="M16" s="1091"/>
      <c r="N16" s="1057"/>
      <c r="O16" s="1056">
        <f t="shared" si="1"/>
        <v>1813.1317028007097</v>
      </c>
      <c r="P16" s="1091"/>
    </row>
    <row r="17" spans="1:16" ht="28.5" x14ac:dyDescent="0.25">
      <c r="A17" s="1090">
        <v>12</v>
      </c>
      <c r="B17" s="1052" t="s">
        <v>1583</v>
      </c>
      <c r="C17" s="1052" t="s">
        <v>847</v>
      </c>
      <c r="D17" s="1052" t="s">
        <v>1667</v>
      </c>
      <c r="E17" s="1060" t="s">
        <v>1587</v>
      </c>
      <c r="F17" s="1051">
        <v>1290.4096906102923</v>
      </c>
      <c r="G17" s="1353" t="s">
        <v>1655</v>
      </c>
      <c r="H17" s="1354">
        <v>43131</v>
      </c>
      <c r="I17" s="1354">
        <v>43131</v>
      </c>
      <c r="J17" s="1091" t="s">
        <v>1657</v>
      </c>
      <c r="K17" s="1051"/>
      <c r="L17" s="1059">
        <f t="shared" si="0"/>
        <v>1290.4096906102923</v>
      </c>
      <c r="M17" s="1091"/>
      <c r="N17" s="1057"/>
      <c r="O17" s="1056">
        <f t="shared" si="1"/>
        <v>1290.4096906102923</v>
      </c>
      <c r="P17" s="1091"/>
    </row>
    <row r="18" spans="1:16" ht="28.5" x14ac:dyDescent="0.25">
      <c r="A18" s="1090">
        <v>13</v>
      </c>
      <c r="B18" s="1052" t="s">
        <v>1583</v>
      </c>
      <c r="C18" s="1052" t="s">
        <v>847</v>
      </c>
      <c r="D18" s="1052" t="s">
        <v>1668</v>
      </c>
      <c r="E18" s="1060" t="s">
        <v>1585</v>
      </c>
      <c r="F18" s="1051">
        <v>482.21587840444408</v>
      </c>
      <c r="G18" s="1353" t="s">
        <v>1655</v>
      </c>
      <c r="H18" s="1354">
        <v>43131</v>
      </c>
      <c r="I18" s="1354">
        <v>43131</v>
      </c>
      <c r="J18" s="1091" t="s">
        <v>1657</v>
      </c>
      <c r="K18" s="1051"/>
      <c r="L18" s="1059">
        <f t="shared" si="0"/>
        <v>482.21587840444408</v>
      </c>
      <c r="M18" s="1091"/>
      <c r="N18" s="1057"/>
      <c r="O18" s="1056">
        <f t="shared" si="1"/>
        <v>482.21587840444408</v>
      </c>
      <c r="P18" s="1091"/>
    </row>
    <row r="19" spans="1:16" ht="42.75" x14ac:dyDescent="0.25">
      <c r="A19" s="1090">
        <v>14</v>
      </c>
      <c r="B19" s="1052" t="s">
        <v>1583</v>
      </c>
      <c r="C19" s="1052" t="s">
        <v>847</v>
      </c>
      <c r="D19" s="1052" t="s">
        <v>1669</v>
      </c>
      <c r="E19" s="1060" t="s">
        <v>1585</v>
      </c>
      <c r="F19" s="1051">
        <v>10257.977779492325</v>
      </c>
      <c r="G19" s="1353" t="s">
        <v>1655</v>
      </c>
      <c r="H19" s="1354">
        <v>43131</v>
      </c>
      <c r="I19" s="1354">
        <v>43131</v>
      </c>
      <c r="J19" s="1091" t="s">
        <v>1657</v>
      </c>
      <c r="K19" s="1051"/>
      <c r="L19" s="1059">
        <f t="shared" si="0"/>
        <v>10257.977779492325</v>
      </c>
      <c r="M19" s="1091"/>
      <c r="N19" s="1057"/>
      <c r="O19" s="1056">
        <f t="shared" si="1"/>
        <v>10257.977779492325</v>
      </c>
      <c r="P19" s="1091"/>
    </row>
    <row r="20" spans="1:16" ht="42.75" x14ac:dyDescent="0.25">
      <c r="A20" s="1090">
        <v>15</v>
      </c>
      <c r="B20" s="1052" t="s">
        <v>1583</v>
      </c>
      <c r="C20" s="1052" t="s">
        <v>847</v>
      </c>
      <c r="D20" s="1052" t="s">
        <v>1669</v>
      </c>
      <c r="E20" s="1060" t="s">
        <v>1586</v>
      </c>
      <c r="F20" s="1051">
        <v>4575.3645552040734</v>
      </c>
      <c r="G20" s="1353" t="s">
        <v>1655</v>
      </c>
      <c r="H20" s="1354">
        <v>43131</v>
      </c>
      <c r="I20" s="1354">
        <v>43131</v>
      </c>
      <c r="J20" s="1091" t="s">
        <v>1657</v>
      </c>
      <c r="K20" s="1051"/>
      <c r="L20" s="1059">
        <f t="shared" si="0"/>
        <v>4575.3645552040734</v>
      </c>
      <c r="M20" s="1091"/>
      <c r="N20" s="1057"/>
      <c r="O20" s="1056">
        <f t="shared" si="1"/>
        <v>4575.3645552040734</v>
      </c>
      <c r="P20" s="1091"/>
    </row>
    <row r="21" spans="1:16" ht="42.75" x14ac:dyDescent="0.25">
      <c r="A21" s="1090">
        <v>16</v>
      </c>
      <c r="B21" s="1052" t="s">
        <v>989</v>
      </c>
      <c r="C21" s="1052" t="s">
        <v>1065</v>
      </c>
      <c r="D21" s="1052" t="s">
        <v>1670</v>
      </c>
      <c r="E21" s="1060" t="s">
        <v>1595</v>
      </c>
      <c r="F21" s="1051">
        <v>386.93002083172593</v>
      </c>
      <c r="G21" s="1353" t="s">
        <v>1655</v>
      </c>
      <c r="H21" s="1354">
        <v>43131</v>
      </c>
      <c r="I21" s="1354">
        <v>43131</v>
      </c>
      <c r="J21" s="1091" t="s">
        <v>1684</v>
      </c>
      <c r="K21" s="1051"/>
      <c r="L21" s="1059">
        <f t="shared" si="0"/>
        <v>386.93002083172593</v>
      </c>
      <c r="M21" s="1091"/>
      <c r="N21" s="1057"/>
      <c r="O21" s="1056">
        <f t="shared" si="1"/>
        <v>386.93002083172593</v>
      </c>
      <c r="P21" s="1091"/>
    </row>
    <row r="22" spans="1:16" ht="28.5" x14ac:dyDescent="0.25">
      <c r="A22" s="1090">
        <v>17</v>
      </c>
      <c r="B22" s="1052" t="s">
        <v>989</v>
      </c>
      <c r="C22" s="1052" t="s">
        <v>1065</v>
      </c>
      <c r="D22" s="1052" t="s">
        <v>1671</v>
      </c>
      <c r="E22" s="1060" t="s">
        <v>1594</v>
      </c>
      <c r="F22" s="1051">
        <v>26657.279530900392</v>
      </c>
      <c r="G22" s="1353" t="s">
        <v>1655</v>
      </c>
      <c r="H22" s="1354">
        <v>43131</v>
      </c>
      <c r="I22" s="1354">
        <v>43131</v>
      </c>
      <c r="J22" s="1091" t="s">
        <v>1685</v>
      </c>
      <c r="K22" s="1051"/>
      <c r="L22" s="1059">
        <f t="shared" si="0"/>
        <v>26657.279530900392</v>
      </c>
      <c r="M22" s="1091"/>
      <c r="N22" s="1057"/>
      <c r="O22" s="1056">
        <f t="shared" si="1"/>
        <v>26657.279530900392</v>
      </c>
      <c r="P22" s="1091"/>
    </row>
    <row r="23" spans="1:16" ht="42.75" x14ac:dyDescent="0.25">
      <c r="A23" s="1090">
        <v>18</v>
      </c>
      <c r="B23" s="1052" t="s">
        <v>989</v>
      </c>
      <c r="C23" s="1052" t="s">
        <v>1065</v>
      </c>
      <c r="D23" s="1052" t="s">
        <v>1672</v>
      </c>
      <c r="E23" s="1060" t="s">
        <v>1596</v>
      </c>
      <c r="F23" s="1051">
        <v>176298.12514466475</v>
      </c>
      <c r="G23" s="1353" t="s">
        <v>1655</v>
      </c>
      <c r="H23" s="1354">
        <v>43131</v>
      </c>
      <c r="I23" s="1354">
        <v>43131</v>
      </c>
      <c r="J23" s="1355" t="s">
        <v>1686</v>
      </c>
      <c r="K23" s="1051"/>
      <c r="L23" s="1059">
        <f t="shared" si="0"/>
        <v>176298.12514466475</v>
      </c>
      <c r="M23" s="1091"/>
      <c r="N23" s="1057"/>
      <c r="O23" s="1056">
        <f t="shared" si="1"/>
        <v>176298.12514466475</v>
      </c>
      <c r="P23" s="1091"/>
    </row>
    <row r="24" spans="1:16" ht="15" x14ac:dyDescent="0.25">
      <c r="A24" s="1090">
        <v>19</v>
      </c>
      <c r="B24" s="1052" t="s">
        <v>989</v>
      </c>
      <c r="C24" s="1052" t="s">
        <v>1067</v>
      </c>
      <c r="D24" s="1052" t="s">
        <v>1673</v>
      </c>
      <c r="E24" s="1060" t="s">
        <v>1589</v>
      </c>
      <c r="F24" s="1051">
        <v>82.914126996373739</v>
      </c>
      <c r="G24" s="1353" t="s">
        <v>1655</v>
      </c>
      <c r="H24" s="1354">
        <v>43131</v>
      </c>
      <c r="I24" s="1354">
        <v>43131</v>
      </c>
      <c r="J24" s="1355" t="s">
        <v>1716</v>
      </c>
      <c r="K24" s="1051"/>
      <c r="L24" s="1059">
        <f t="shared" si="0"/>
        <v>82.914126996373739</v>
      </c>
      <c r="M24" s="1091"/>
      <c r="N24" s="1057"/>
      <c r="O24" s="1056">
        <f t="shared" si="1"/>
        <v>82.914126996373739</v>
      </c>
      <c r="P24" s="1091"/>
    </row>
    <row r="25" spans="1:16" ht="42.75" x14ac:dyDescent="0.25">
      <c r="A25" s="1090">
        <v>20</v>
      </c>
      <c r="B25" s="1052" t="s">
        <v>989</v>
      </c>
      <c r="C25" s="1052" t="s">
        <v>1067</v>
      </c>
      <c r="D25" s="1052" t="s">
        <v>1674</v>
      </c>
      <c r="E25" s="1060" t="s">
        <v>1584</v>
      </c>
      <c r="F25" s="1051">
        <v>2799.7583182754711</v>
      </c>
      <c r="G25" s="1353" t="s">
        <v>1655</v>
      </c>
      <c r="H25" s="1354">
        <v>43131</v>
      </c>
      <c r="I25" s="1354">
        <v>43131</v>
      </c>
      <c r="J25" s="1355" t="s">
        <v>1720</v>
      </c>
      <c r="K25" s="1051"/>
      <c r="L25" s="1059">
        <f t="shared" si="0"/>
        <v>2799.7583182754711</v>
      </c>
      <c r="M25" s="1091"/>
      <c r="N25" s="1057"/>
      <c r="O25" s="1056">
        <f t="shared" si="1"/>
        <v>2799.7583182754711</v>
      </c>
      <c r="P25" s="1091"/>
    </row>
    <row r="26" spans="1:16" ht="42.75" x14ac:dyDescent="0.25">
      <c r="A26" s="1090">
        <v>21</v>
      </c>
      <c r="B26" s="1052" t="s">
        <v>989</v>
      </c>
      <c r="C26" s="1052" t="s">
        <v>1067</v>
      </c>
      <c r="D26" s="1052" t="s">
        <v>1665</v>
      </c>
      <c r="E26" s="1060" t="s">
        <v>1590</v>
      </c>
      <c r="F26" s="1051">
        <v>2517.3211943522874</v>
      </c>
      <c r="G26" s="1353" t="s">
        <v>1655</v>
      </c>
      <c r="H26" s="1354">
        <v>43131</v>
      </c>
      <c r="I26" s="1354">
        <v>43131</v>
      </c>
      <c r="J26" s="1355" t="s">
        <v>1718</v>
      </c>
      <c r="K26" s="1051"/>
      <c r="L26" s="1059">
        <f t="shared" si="0"/>
        <v>2517.3211943522874</v>
      </c>
      <c r="M26" s="1091"/>
      <c r="N26" s="1057"/>
      <c r="O26" s="1056">
        <f t="shared" si="1"/>
        <v>2517.3211943522874</v>
      </c>
      <c r="P26" s="1091"/>
    </row>
    <row r="27" spans="1:16" ht="28.5" x14ac:dyDescent="0.25">
      <c r="A27" s="1090">
        <v>22</v>
      </c>
      <c r="B27" s="1052" t="s">
        <v>989</v>
      </c>
      <c r="C27" s="1052" t="s">
        <v>1067</v>
      </c>
      <c r="D27" s="1052" t="s">
        <v>1675</v>
      </c>
      <c r="E27" s="1060" t="s">
        <v>1582</v>
      </c>
      <c r="F27" s="1051">
        <v>861.60790062495175</v>
      </c>
      <c r="G27" s="1353" t="s">
        <v>1655</v>
      </c>
      <c r="H27" s="1354">
        <v>43131</v>
      </c>
      <c r="I27" s="1354">
        <v>43131</v>
      </c>
      <c r="J27" s="1355" t="s">
        <v>1719</v>
      </c>
      <c r="K27" s="1051"/>
      <c r="L27" s="1059">
        <f t="shared" si="0"/>
        <v>861.60790062495175</v>
      </c>
      <c r="M27" s="1091"/>
      <c r="N27" s="1057"/>
      <c r="O27" s="1056">
        <f t="shared" si="1"/>
        <v>861.60790062495175</v>
      </c>
      <c r="P27" s="1091"/>
    </row>
    <row r="28" spans="1:16" ht="57" x14ac:dyDescent="0.25">
      <c r="A28" s="1090">
        <v>23</v>
      </c>
      <c r="B28" s="1052" t="s">
        <v>1580</v>
      </c>
      <c r="C28" s="1052" t="s">
        <v>1013</v>
      </c>
      <c r="D28" s="1052" t="s">
        <v>1676</v>
      </c>
      <c r="E28" s="1060" t="s">
        <v>1581</v>
      </c>
      <c r="F28" s="1051">
        <v>7857.3020600262325</v>
      </c>
      <c r="G28" s="1353" t="s">
        <v>1655</v>
      </c>
      <c r="H28" s="1354">
        <v>43131</v>
      </c>
      <c r="I28" s="1354">
        <v>43131</v>
      </c>
      <c r="J28" s="1355" t="s">
        <v>1721</v>
      </c>
      <c r="K28" s="1051"/>
      <c r="L28" s="1059">
        <f t="shared" si="0"/>
        <v>7857.3020600262325</v>
      </c>
      <c r="M28" s="1091"/>
      <c r="N28" s="1057"/>
      <c r="O28" s="1056">
        <f t="shared" si="1"/>
        <v>7857.3020600262325</v>
      </c>
      <c r="P28" s="1091"/>
    </row>
    <row r="29" spans="1:16" ht="57" x14ac:dyDescent="0.25">
      <c r="A29" s="1090">
        <v>24</v>
      </c>
      <c r="B29" s="1052" t="s">
        <v>1580</v>
      </c>
      <c r="C29" s="1052" t="s">
        <v>1013</v>
      </c>
      <c r="D29" s="1052" t="s">
        <v>1677</v>
      </c>
      <c r="E29" s="1060" t="s">
        <v>1581</v>
      </c>
      <c r="F29" s="1051">
        <v>3928.6510300131163</v>
      </c>
      <c r="G29" s="1353" t="s">
        <v>1655</v>
      </c>
      <c r="H29" s="1354">
        <v>43131</v>
      </c>
      <c r="I29" s="1354">
        <v>43131</v>
      </c>
      <c r="J29" s="1355" t="s">
        <v>1721</v>
      </c>
      <c r="K29" s="1051"/>
      <c r="L29" s="1059">
        <f t="shared" si="0"/>
        <v>3928.6510300131163</v>
      </c>
      <c r="M29" s="1091"/>
      <c r="N29" s="1057"/>
      <c r="O29" s="1056">
        <f t="shared" si="1"/>
        <v>3928.6510300131163</v>
      </c>
      <c r="P29" s="1091"/>
    </row>
    <row r="30" spans="1:16" ht="57" x14ac:dyDescent="0.25">
      <c r="A30" s="1090">
        <v>25</v>
      </c>
      <c r="B30" s="1052" t="s">
        <v>1580</v>
      </c>
      <c r="C30" s="1052" t="s">
        <v>1013</v>
      </c>
      <c r="D30" s="1052" t="s">
        <v>1678</v>
      </c>
      <c r="E30" s="1060" t="s">
        <v>1582</v>
      </c>
      <c r="F30" s="1051">
        <v>685.95494174832186</v>
      </c>
      <c r="G30" s="1353" t="s">
        <v>1655</v>
      </c>
      <c r="H30" s="1354">
        <v>43131</v>
      </c>
      <c r="I30" s="1354">
        <v>43131</v>
      </c>
      <c r="J30" s="1355" t="s">
        <v>1721</v>
      </c>
      <c r="K30" s="1051"/>
      <c r="L30" s="1059">
        <f t="shared" si="0"/>
        <v>685.95494174832186</v>
      </c>
      <c r="M30" s="1091"/>
      <c r="N30" s="1057"/>
      <c r="O30" s="1056">
        <f t="shared" si="1"/>
        <v>685.95494174832186</v>
      </c>
      <c r="P30" s="1091"/>
    </row>
    <row r="31" spans="1:16" ht="28.5" x14ac:dyDescent="0.25">
      <c r="A31" s="1090">
        <v>26</v>
      </c>
      <c r="B31" s="1052" t="s">
        <v>1583</v>
      </c>
      <c r="C31" s="1052" t="s">
        <v>847</v>
      </c>
      <c r="D31" s="1052" t="s">
        <v>1679</v>
      </c>
      <c r="E31" s="1060" t="s">
        <v>1584</v>
      </c>
      <c r="F31" s="1051">
        <v>716.78433561538009</v>
      </c>
      <c r="G31" s="1353" t="s">
        <v>1655</v>
      </c>
      <c r="H31" s="1354">
        <v>43131</v>
      </c>
      <c r="I31" s="1354">
        <v>43131</v>
      </c>
      <c r="J31" s="1355" t="s">
        <v>1720</v>
      </c>
      <c r="K31" s="1051"/>
      <c r="L31" s="1059">
        <f t="shared" si="0"/>
        <v>716.78433561538009</v>
      </c>
      <c r="M31" s="1091"/>
      <c r="N31" s="1057"/>
      <c r="O31" s="1056">
        <f t="shared" si="1"/>
        <v>716.78433561538009</v>
      </c>
      <c r="P31" s="1091"/>
    </row>
    <row r="32" spans="1:16" ht="28.5" x14ac:dyDescent="0.25">
      <c r="A32" s="1090">
        <v>27</v>
      </c>
      <c r="B32" s="1052" t="s">
        <v>1583</v>
      </c>
      <c r="C32" s="1052" t="s">
        <v>847</v>
      </c>
      <c r="D32" s="1052" t="s">
        <v>1680</v>
      </c>
      <c r="E32" s="1060" t="s">
        <v>1584</v>
      </c>
      <c r="F32" s="1051">
        <v>179.1006772962231</v>
      </c>
      <c r="G32" s="1353" t="s">
        <v>1655</v>
      </c>
      <c r="H32" s="1354">
        <v>43131</v>
      </c>
      <c r="I32" s="1354">
        <v>43131</v>
      </c>
      <c r="J32" s="1355" t="s">
        <v>1720</v>
      </c>
      <c r="K32" s="1051"/>
      <c r="L32" s="1059">
        <f t="shared" si="0"/>
        <v>179.1006772962231</v>
      </c>
      <c r="M32" s="1091"/>
      <c r="N32" s="1057"/>
      <c r="O32" s="1056">
        <f t="shared" si="1"/>
        <v>179.1006772962231</v>
      </c>
      <c r="P32" s="1091"/>
    </row>
    <row r="33" spans="1:16" ht="15" x14ac:dyDescent="0.25">
      <c r="A33" s="1090">
        <v>28</v>
      </c>
      <c r="B33" s="1052" t="s">
        <v>1081</v>
      </c>
      <c r="C33" s="1052" t="s">
        <v>1082</v>
      </c>
      <c r="D33" s="1052" t="s">
        <v>1681</v>
      </c>
      <c r="E33" s="1060" t="s">
        <v>1584</v>
      </c>
      <c r="F33" s="1051">
        <v>215.1377208548723</v>
      </c>
      <c r="G33" s="1353" t="s">
        <v>1655</v>
      </c>
      <c r="H33" s="1354">
        <v>43131</v>
      </c>
      <c r="I33" s="1354">
        <v>43131</v>
      </c>
      <c r="J33" s="1355" t="s">
        <v>1720</v>
      </c>
      <c r="K33" s="1051"/>
      <c r="L33" s="1059">
        <f t="shared" si="0"/>
        <v>215.1377208548723</v>
      </c>
      <c r="M33" s="1091"/>
      <c r="N33" s="1057"/>
      <c r="O33" s="1056">
        <f t="shared" si="1"/>
        <v>215.1377208548723</v>
      </c>
      <c r="P33" s="1091"/>
    </row>
    <row r="34" spans="1:16" ht="15" x14ac:dyDescent="0.25">
      <c r="A34" s="1090">
        <v>29</v>
      </c>
      <c r="B34" s="1052" t="s">
        <v>1081</v>
      </c>
      <c r="C34" s="1052" t="s">
        <v>1082</v>
      </c>
      <c r="D34" s="1052" t="s">
        <v>1682</v>
      </c>
      <c r="E34" s="1060" t="s">
        <v>1591</v>
      </c>
      <c r="F34" s="1051">
        <v>142.06465550497646</v>
      </c>
      <c r="G34" s="1353" t="s">
        <v>1655</v>
      </c>
      <c r="H34" s="1354">
        <v>43131</v>
      </c>
      <c r="I34" s="1354">
        <v>43131</v>
      </c>
      <c r="J34" s="1355" t="s">
        <v>1722</v>
      </c>
      <c r="K34" s="1051"/>
      <c r="L34" s="1059">
        <f t="shared" si="0"/>
        <v>142.06465550497646</v>
      </c>
      <c r="M34" s="1091"/>
      <c r="N34" s="1057"/>
      <c r="O34" s="1056">
        <f t="shared" si="1"/>
        <v>142.06465550497646</v>
      </c>
      <c r="P34" s="1091"/>
    </row>
    <row r="35" spans="1:16" ht="15" x14ac:dyDescent="0.25">
      <c r="A35" s="1090">
        <v>30</v>
      </c>
      <c r="B35" s="1052" t="s">
        <v>1081</v>
      </c>
      <c r="C35" s="1052" t="s">
        <v>1082</v>
      </c>
      <c r="D35" s="1052" t="s">
        <v>1683</v>
      </c>
      <c r="E35" s="1060" t="s">
        <v>1597</v>
      </c>
      <c r="F35" s="1051">
        <v>192.88635136177763</v>
      </c>
      <c r="G35" s="1353" t="s">
        <v>1655</v>
      </c>
      <c r="H35" s="1354">
        <v>43131</v>
      </c>
      <c r="I35" s="1354">
        <v>43131</v>
      </c>
      <c r="J35" s="1355" t="s">
        <v>1723</v>
      </c>
      <c r="K35" s="1051"/>
      <c r="L35" s="1059">
        <f t="shared" si="0"/>
        <v>192.88635136177763</v>
      </c>
      <c r="M35" s="1091"/>
      <c r="N35" s="1057"/>
      <c r="O35" s="1056">
        <f t="shared" si="1"/>
        <v>192.88635136177763</v>
      </c>
      <c r="P35" s="1091"/>
    </row>
    <row r="36" spans="1:16" ht="28.5" x14ac:dyDescent="0.25">
      <c r="A36" s="1090">
        <v>31</v>
      </c>
      <c r="B36" s="1052" t="s">
        <v>1583</v>
      </c>
      <c r="C36" s="1052" t="s">
        <v>847</v>
      </c>
      <c r="D36" s="1052" t="s">
        <v>1666</v>
      </c>
      <c r="E36" s="1060" t="s">
        <v>1584</v>
      </c>
      <c r="F36" s="1051">
        <v>257.99064767258085</v>
      </c>
      <c r="G36" s="1353" t="s">
        <v>1655</v>
      </c>
      <c r="H36" s="1354">
        <v>43131</v>
      </c>
      <c r="I36" s="1354">
        <v>43131</v>
      </c>
      <c r="J36" s="1355" t="s">
        <v>1717</v>
      </c>
      <c r="K36" s="1051"/>
      <c r="L36" s="1059">
        <f t="shared" si="0"/>
        <v>257.99064767258085</v>
      </c>
      <c r="M36" s="1091"/>
      <c r="N36" s="1057"/>
      <c r="O36" s="1056">
        <f t="shared" si="1"/>
        <v>257.99064767258085</v>
      </c>
      <c r="P36" s="1091"/>
    </row>
    <row r="37" spans="1:16" ht="15" hidden="1" x14ac:dyDescent="0.25">
      <c r="A37" s="1090">
        <v>32</v>
      </c>
      <c r="B37" s="1052"/>
      <c r="C37" s="1052"/>
      <c r="D37" s="1052"/>
      <c r="E37" s="1060"/>
      <c r="F37" s="1051"/>
      <c r="G37" s="1052"/>
      <c r="H37" s="1058"/>
      <c r="I37" s="1058"/>
      <c r="J37" s="1091"/>
      <c r="K37" s="1051"/>
      <c r="L37" s="1059">
        <f t="shared" si="0"/>
        <v>0</v>
      </c>
      <c r="M37" s="1091"/>
      <c r="N37" s="1057"/>
      <c r="O37" s="1056">
        <f t="shared" si="1"/>
        <v>0</v>
      </c>
      <c r="P37" s="1091"/>
    </row>
    <row r="38" spans="1:16" ht="15" hidden="1" x14ac:dyDescent="0.25">
      <c r="A38" s="1090">
        <v>33</v>
      </c>
      <c r="B38" s="1052"/>
      <c r="C38" s="1052"/>
      <c r="D38" s="1052"/>
      <c r="E38" s="1060"/>
      <c r="F38" s="1051"/>
      <c r="G38" s="1052"/>
      <c r="H38" s="1058"/>
      <c r="I38" s="1058"/>
      <c r="J38" s="1091"/>
      <c r="K38" s="1051"/>
      <c r="L38" s="1059">
        <f t="shared" si="0"/>
        <v>0</v>
      </c>
      <c r="M38" s="1091"/>
      <c r="N38" s="1057"/>
      <c r="O38" s="1056">
        <f t="shared" si="1"/>
        <v>0</v>
      </c>
      <c r="P38" s="1091"/>
    </row>
    <row r="39" spans="1:16" ht="15" hidden="1" x14ac:dyDescent="0.25">
      <c r="A39" s="1090">
        <v>34</v>
      </c>
      <c r="B39" s="1052"/>
      <c r="C39" s="1052"/>
      <c r="D39" s="1052"/>
      <c r="E39" s="1060"/>
      <c r="F39" s="1051"/>
      <c r="G39" s="1052"/>
      <c r="H39" s="1058"/>
      <c r="I39" s="1058"/>
      <c r="J39" s="1091"/>
      <c r="K39" s="1051"/>
      <c r="L39" s="1059">
        <f t="shared" si="0"/>
        <v>0</v>
      </c>
      <c r="M39" s="1091"/>
      <c r="N39" s="1057"/>
      <c r="O39" s="1056">
        <f t="shared" si="1"/>
        <v>0</v>
      </c>
      <c r="P39" s="1091"/>
    </row>
    <row r="40" spans="1:16" ht="15" hidden="1" x14ac:dyDescent="0.25">
      <c r="A40" s="1090">
        <v>35</v>
      </c>
      <c r="B40" s="1052"/>
      <c r="C40" s="1052"/>
      <c r="D40" s="1052"/>
      <c r="E40" s="1060"/>
      <c r="F40" s="1051"/>
      <c r="G40" s="1052"/>
      <c r="H40" s="1058"/>
      <c r="I40" s="1058"/>
      <c r="J40" s="1091"/>
      <c r="K40" s="1051"/>
      <c r="L40" s="1059">
        <f t="shared" si="0"/>
        <v>0</v>
      </c>
      <c r="M40" s="1091"/>
      <c r="N40" s="1057"/>
      <c r="O40" s="1056">
        <f t="shared" si="1"/>
        <v>0</v>
      </c>
      <c r="P40" s="1091"/>
    </row>
    <row r="41" spans="1:16" ht="15" hidden="1" x14ac:dyDescent="0.25">
      <c r="A41" s="1090">
        <v>36</v>
      </c>
      <c r="B41" s="1052"/>
      <c r="C41" s="1052"/>
      <c r="D41" s="1052"/>
      <c r="E41" s="1060"/>
      <c r="F41" s="1051"/>
      <c r="G41" s="1052"/>
      <c r="H41" s="1058"/>
      <c r="I41" s="1058"/>
      <c r="J41" s="1091"/>
      <c r="K41" s="1051"/>
      <c r="L41" s="1059">
        <f t="shared" si="0"/>
        <v>0</v>
      </c>
      <c r="M41" s="1091"/>
      <c r="N41" s="1057"/>
      <c r="O41" s="1056">
        <f t="shared" si="1"/>
        <v>0</v>
      </c>
      <c r="P41" s="1091"/>
    </row>
    <row r="42" spans="1:16" ht="15" hidden="1" x14ac:dyDescent="0.25">
      <c r="A42" s="1090">
        <v>37</v>
      </c>
      <c r="B42" s="1052"/>
      <c r="C42" s="1052"/>
      <c r="D42" s="1052"/>
      <c r="E42" s="1060"/>
      <c r="F42" s="1051"/>
      <c r="G42" s="1052"/>
      <c r="H42" s="1058"/>
      <c r="I42" s="1058"/>
      <c r="J42" s="1091"/>
      <c r="K42" s="1051"/>
      <c r="L42" s="1059">
        <f t="shared" si="0"/>
        <v>0</v>
      </c>
      <c r="M42" s="1091"/>
      <c r="N42" s="1057"/>
      <c r="O42" s="1056">
        <f t="shared" si="1"/>
        <v>0</v>
      </c>
      <c r="P42" s="1091"/>
    </row>
    <row r="43" spans="1:16" ht="15" hidden="1" x14ac:dyDescent="0.25">
      <c r="A43" s="1090">
        <v>38</v>
      </c>
      <c r="B43" s="1052"/>
      <c r="C43" s="1052"/>
      <c r="D43" s="1052"/>
      <c r="E43" s="1060"/>
      <c r="F43" s="1051"/>
      <c r="G43" s="1052"/>
      <c r="H43" s="1058"/>
      <c r="I43" s="1058"/>
      <c r="J43" s="1091"/>
      <c r="K43" s="1051"/>
      <c r="L43" s="1059">
        <f t="shared" si="0"/>
        <v>0</v>
      </c>
      <c r="M43" s="1091"/>
      <c r="N43" s="1057"/>
      <c r="O43" s="1056">
        <f t="shared" si="1"/>
        <v>0</v>
      </c>
      <c r="P43" s="1091"/>
    </row>
    <row r="44" spans="1:16" ht="15" hidden="1" x14ac:dyDescent="0.25">
      <c r="A44" s="1090">
        <v>39</v>
      </c>
      <c r="B44" s="1052"/>
      <c r="C44" s="1052"/>
      <c r="D44" s="1052"/>
      <c r="E44" s="1060"/>
      <c r="F44" s="1051"/>
      <c r="G44" s="1052"/>
      <c r="H44" s="1058"/>
      <c r="I44" s="1058"/>
      <c r="J44" s="1091"/>
      <c r="K44" s="1051"/>
      <c r="L44" s="1059">
        <f t="shared" si="0"/>
        <v>0</v>
      </c>
      <c r="M44" s="1091"/>
      <c r="N44" s="1057"/>
      <c r="O44" s="1056">
        <f t="shared" si="1"/>
        <v>0</v>
      </c>
      <c r="P44" s="1091"/>
    </row>
    <row r="45" spans="1:16" ht="15" hidden="1" x14ac:dyDescent="0.25">
      <c r="A45" s="1090">
        <v>40</v>
      </c>
      <c r="B45" s="1052"/>
      <c r="C45" s="1052"/>
      <c r="D45" s="1052"/>
      <c r="E45" s="1060"/>
      <c r="F45" s="1051"/>
      <c r="G45" s="1052"/>
      <c r="H45" s="1058"/>
      <c r="I45" s="1058"/>
      <c r="J45" s="1091"/>
      <c r="K45" s="1051"/>
      <c r="L45" s="1059">
        <f t="shared" si="0"/>
        <v>0</v>
      </c>
      <c r="M45" s="1091"/>
      <c r="N45" s="1057"/>
      <c r="O45" s="1056">
        <f t="shared" si="1"/>
        <v>0</v>
      </c>
      <c r="P45" s="1091"/>
    </row>
    <row r="46" spans="1:16" ht="15" hidden="1" x14ac:dyDescent="0.25">
      <c r="A46" s="1090">
        <v>41</v>
      </c>
      <c r="B46" s="1052"/>
      <c r="C46" s="1052"/>
      <c r="D46" s="1052"/>
      <c r="E46" s="1060"/>
      <c r="F46" s="1051"/>
      <c r="G46" s="1052"/>
      <c r="H46" s="1058"/>
      <c r="I46" s="1058"/>
      <c r="J46" s="1091"/>
      <c r="K46" s="1051"/>
      <c r="L46" s="1059">
        <f t="shared" si="0"/>
        <v>0</v>
      </c>
      <c r="M46" s="1091"/>
      <c r="N46" s="1057"/>
      <c r="O46" s="1056">
        <f t="shared" si="1"/>
        <v>0</v>
      </c>
      <c r="P46" s="1091"/>
    </row>
    <row r="47" spans="1:16" ht="15" hidden="1" x14ac:dyDescent="0.25">
      <c r="A47" s="1090">
        <v>42</v>
      </c>
      <c r="B47" s="1052"/>
      <c r="C47" s="1052"/>
      <c r="D47" s="1052"/>
      <c r="E47" s="1060"/>
      <c r="F47" s="1051"/>
      <c r="G47" s="1052"/>
      <c r="H47" s="1058"/>
      <c r="I47" s="1058"/>
      <c r="J47" s="1091"/>
      <c r="K47" s="1051"/>
      <c r="L47" s="1059">
        <f t="shared" si="0"/>
        <v>0</v>
      </c>
      <c r="M47" s="1091"/>
      <c r="N47" s="1057"/>
      <c r="O47" s="1056">
        <f t="shared" si="1"/>
        <v>0</v>
      </c>
      <c r="P47" s="1091"/>
    </row>
    <row r="48" spans="1:16" ht="15" hidden="1" x14ac:dyDescent="0.25">
      <c r="A48" s="1090">
        <v>43</v>
      </c>
      <c r="B48" s="1052"/>
      <c r="C48" s="1052"/>
      <c r="D48" s="1052"/>
      <c r="E48" s="1060"/>
      <c r="F48" s="1051"/>
      <c r="G48" s="1052"/>
      <c r="H48" s="1058"/>
      <c r="I48" s="1058"/>
      <c r="J48" s="1091"/>
      <c r="K48" s="1051"/>
      <c r="L48" s="1059">
        <f t="shared" si="0"/>
        <v>0</v>
      </c>
      <c r="M48" s="1091"/>
      <c r="N48" s="1057"/>
      <c r="O48" s="1056">
        <f t="shared" si="1"/>
        <v>0</v>
      </c>
      <c r="P48" s="1091"/>
    </row>
    <row r="49" spans="1:16" ht="15" hidden="1" x14ac:dyDescent="0.25">
      <c r="A49" s="1090">
        <v>44</v>
      </c>
      <c r="B49" s="1052"/>
      <c r="C49" s="1052"/>
      <c r="D49" s="1052"/>
      <c r="E49" s="1060"/>
      <c r="F49" s="1051"/>
      <c r="G49" s="1052"/>
      <c r="H49" s="1058"/>
      <c r="I49" s="1058"/>
      <c r="J49" s="1091"/>
      <c r="K49" s="1051"/>
      <c r="L49" s="1059">
        <f t="shared" si="0"/>
        <v>0</v>
      </c>
      <c r="M49" s="1091"/>
      <c r="N49" s="1057"/>
      <c r="O49" s="1056">
        <f t="shared" si="1"/>
        <v>0</v>
      </c>
      <c r="P49" s="1091"/>
    </row>
    <row r="50" spans="1:16" ht="15" hidden="1" x14ac:dyDescent="0.25">
      <c r="A50" s="1090">
        <v>45</v>
      </c>
      <c r="B50" s="1052"/>
      <c r="C50" s="1052"/>
      <c r="D50" s="1052"/>
      <c r="E50" s="1060"/>
      <c r="F50" s="1051"/>
      <c r="G50" s="1052"/>
      <c r="H50" s="1058"/>
      <c r="I50" s="1058"/>
      <c r="J50" s="1091"/>
      <c r="K50" s="1051"/>
      <c r="L50" s="1059">
        <f t="shared" si="0"/>
        <v>0</v>
      </c>
      <c r="M50" s="1091"/>
      <c r="N50" s="1057"/>
      <c r="O50" s="1056">
        <f t="shared" si="1"/>
        <v>0</v>
      </c>
      <c r="P50" s="1091"/>
    </row>
    <row r="51" spans="1:16" ht="15" hidden="1" x14ac:dyDescent="0.25">
      <c r="A51" s="1090">
        <v>46</v>
      </c>
      <c r="B51" s="1052"/>
      <c r="C51" s="1052"/>
      <c r="D51" s="1052"/>
      <c r="E51" s="1060"/>
      <c r="F51" s="1051"/>
      <c r="G51" s="1052"/>
      <c r="H51" s="1058"/>
      <c r="I51" s="1058"/>
      <c r="J51" s="1091"/>
      <c r="K51" s="1051"/>
      <c r="L51" s="1059">
        <f t="shared" si="0"/>
        <v>0</v>
      </c>
      <c r="M51" s="1091"/>
      <c r="N51" s="1057"/>
      <c r="O51" s="1056">
        <f t="shared" si="1"/>
        <v>0</v>
      </c>
      <c r="P51" s="1091"/>
    </row>
    <row r="52" spans="1:16" ht="15" hidden="1" x14ac:dyDescent="0.25">
      <c r="A52" s="1090">
        <v>47</v>
      </c>
      <c r="B52" s="1052"/>
      <c r="C52" s="1052"/>
      <c r="D52" s="1052"/>
      <c r="E52" s="1060"/>
      <c r="F52" s="1051"/>
      <c r="G52" s="1052"/>
      <c r="H52" s="1058"/>
      <c r="I52" s="1058"/>
      <c r="J52" s="1091"/>
      <c r="K52" s="1051"/>
      <c r="L52" s="1059">
        <f t="shared" si="0"/>
        <v>0</v>
      </c>
      <c r="M52" s="1091"/>
      <c r="N52" s="1057"/>
      <c r="O52" s="1056">
        <f t="shared" si="1"/>
        <v>0</v>
      </c>
      <c r="P52" s="1091"/>
    </row>
    <row r="53" spans="1:16" ht="15" hidden="1" x14ac:dyDescent="0.25">
      <c r="A53" s="1090">
        <v>48</v>
      </c>
      <c r="B53" s="1052"/>
      <c r="C53" s="1052"/>
      <c r="D53" s="1052"/>
      <c r="E53" s="1060"/>
      <c r="F53" s="1051"/>
      <c r="G53" s="1052"/>
      <c r="H53" s="1058"/>
      <c r="I53" s="1058"/>
      <c r="J53" s="1091"/>
      <c r="K53" s="1051"/>
      <c r="L53" s="1059">
        <f t="shared" si="0"/>
        <v>0</v>
      </c>
      <c r="M53" s="1091"/>
      <c r="N53" s="1057"/>
      <c r="O53" s="1056">
        <f t="shared" si="1"/>
        <v>0</v>
      </c>
      <c r="P53" s="1091"/>
    </row>
    <row r="54" spans="1:16" ht="15" hidden="1" x14ac:dyDescent="0.25">
      <c r="A54" s="1090">
        <v>49</v>
      </c>
      <c r="B54" s="1052"/>
      <c r="C54" s="1052"/>
      <c r="D54" s="1052"/>
      <c r="E54" s="1060"/>
      <c r="F54" s="1051"/>
      <c r="G54" s="1052"/>
      <c r="H54" s="1058"/>
      <c r="I54" s="1058"/>
      <c r="J54" s="1091"/>
      <c r="K54" s="1051"/>
      <c r="L54" s="1059">
        <f t="shared" si="0"/>
        <v>0</v>
      </c>
      <c r="M54" s="1091"/>
      <c r="N54" s="1057"/>
      <c r="O54" s="1056">
        <f t="shared" si="1"/>
        <v>0</v>
      </c>
      <c r="P54" s="1091"/>
    </row>
    <row r="55" spans="1:16" ht="15" x14ac:dyDescent="0.25">
      <c r="A55" s="1090">
        <v>50</v>
      </c>
      <c r="B55" s="1052"/>
      <c r="C55" s="1052"/>
      <c r="D55" s="1052"/>
      <c r="E55" s="1060"/>
      <c r="F55" s="1051"/>
      <c r="G55" s="1052"/>
      <c r="H55" s="1058"/>
      <c r="I55" s="1058"/>
      <c r="J55" s="1091"/>
      <c r="K55" s="1051"/>
      <c r="L55" s="1059">
        <f t="shared" si="0"/>
        <v>0</v>
      </c>
      <c r="M55" s="1091"/>
      <c r="N55" s="1057"/>
      <c r="O55" s="1056">
        <f t="shared" si="1"/>
        <v>0</v>
      </c>
      <c r="P55" s="1091"/>
    </row>
    <row r="56" spans="1:16" ht="15.75" thickBot="1" x14ac:dyDescent="0.25">
      <c r="A56" s="1050"/>
      <c r="B56" s="1055" t="s">
        <v>60</v>
      </c>
      <c r="C56" s="1055"/>
      <c r="D56" s="1055"/>
      <c r="E56" s="1055"/>
      <c r="F56" s="1054">
        <f>SUM(F6:F55)</f>
        <v>258298.63822235941</v>
      </c>
      <c r="G56" s="1055"/>
      <c r="H56" s="1055"/>
      <c r="I56" s="1055"/>
      <c r="J56" s="1055"/>
      <c r="K56" s="1054">
        <f>SUM(K6:K55)</f>
        <v>0</v>
      </c>
      <c r="L56" s="1054">
        <f>SUM(L6:L55)</f>
        <v>258298.63822235941</v>
      </c>
      <c r="M56" s="1050"/>
      <c r="N56" s="1054">
        <f>SUM(N6:N55)</f>
        <v>0</v>
      </c>
      <c r="O56" s="1054">
        <f>SUM(O6:O55)</f>
        <v>258298.63822235941</v>
      </c>
      <c r="P56" s="1050"/>
    </row>
    <row r="58" spans="1:16" ht="44.25" customHeight="1" x14ac:dyDescent="0.2">
      <c r="F58" s="1092" t="str">
        <f>IF(AND(ROUND(F56,0)=ROUND('PR Cash Reconciliation_2A,B,C,D'!D42,0)),"OK","WARNING -Financial Commitments not matching")</f>
        <v>OK</v>
      </c>
      <c r="L58" s="1092" t="str">
        <f>IF(AND(ROUND(L56,0)=ROUND('PR Cash Reconciliation_2A,B,C,D'!H42,0)),"OK","WARNING -Financial Commitments not matching")</f>
        <v>OK</v>
      </c>
    </row>
    <row r="60" spans="1:16" ht="30" x14ac:dyDescent="0.2">
      <c r="A60" s="1053" t="s">
        <v>610</v>
      </c>
      <c r="B60" s="1050"/>
      <c r="C60" s="1050"/>
      <c r="E60" s="1050"/>
      <c r="F60" s="1050"/>
      <c r="G60" s="1050"/>
      <c r="H60" s="1050"/>
      <c r="I60" s="1050"/>
      <c r="J60" s="1050"/>
      <c r="K60" s="1050"/>
      <c r="L60" s="1050"/>
      <c r="M60" s="1050"/>
      <c r="N60" s="1050"/>
      <c r="O60" s="1050"/>
      <c r="P60" s="1050"/>
    </row>
    <row r="61" spans="1:16" ht="13.5" thickBot="1" x14ac:dyDescent="0.25">
      <c r="A61" s="1050"/>
      <c r="B61" s="1050"/>
      <c r="C61" s="1050"/>
      <c r="E61" s="1050"/>
      <c r="F61" s="1050"/>
      <c r="G61" s="1050"/>
      <c r="H61" s="1050"/>
      <c r="I61" s="1050"/>
      <c r="J61" s="1050"/>
      <c r="K61" s="1050"/>
      <c r="L61" s="1050"/>
      <c r="M61" s="1050"/>
      <c r="N61" s="1050"/>
      <c r="O61" s="1050"/>
      <c r="P61" s="1050"/>
    </row>
    <row r="62" spans="1:16" ht="15.75" thickBot="1" x14ac:dyDescent="0.25">
      <c r="A62" s="1050"/>
      <c r="B62" s="1735" t="s">
        <v>70</v>
      </c>
      <c r="C62" s="1736"/>
      <c r="D62" s="1736"/>
      <c r="E62" s="1736"/>
      <c r="F62" s="1736"/>
      <c r="G62" s="1736"/>
      <c r="H62" s="1736"/>
      <c r="I62" s="1736"/>
      <c r="J62" s="1737"/>
      <c r="K62" s="1741" t="s">
        <v>115</v>
      </c>
      <c r="L62" s="1742"/>
      <c r="M62" s="1743"/>
      <c r="N62" s="1738" t="s">
        <v>101</v>
      </c>
      <c r="O62" s="1739"/>
      <c r="P62" s="1740"/>
    </row>
    <row r="63" spans="1:16" ht="60" customHeight="1" x14ac:dyDescent="0.2">
      <c r="A63" s="1068" t="s">
        <v>584</v>
      </c>
      <c r="B63" s="1067" t="s">
        <v>585</v>
      </c>
      <c r="C63" s="1067" t="s">
        <v>338</v>
      </c>
      <c r="D63" s="1067" t="s">
        <v>608</v>
      </c>
      <c r="E63" s="1067" t="s">
        <v>586</v>
      </c>
      <c r="F63" s="1067" t="s">
        <v>587</v>
      </c>
      <c r="G63" s="1067" t="s">
        <v>591</v>
      </c>
      <c r="H63" s="1067" t="s">
        <v>589</v>
      </c>
      <c r="I63" s="1744" t="s">
        <v>27</v>
      </c>
      <c r="J63" s="1745"/>
      <c r="K63" s="1066" t="s">
        <v>114</v>
      </c>
      <c r="L63" s="1066" t="s">
        <v>71</v>
      </c>
      <c r="M63" s="1065" t="s">
        <v>27</v>
      </c>
      <c r="N63" s="1064" t="s">
        <v>163</v>
      </c>
      <c r="O63" s="1063" t="s">
        <v>72</v>
      </c>
      <c r="P63" s="1062" t="s">
        <v>27</v>
      </c>
    </row>
    <row r="64" spans="1:16" ht="42.75" x14ac:dyDescent="0.25">
      <c r="A64" s="1090">
        <v>1</v>
      </c>
      <c r="B64" s="1052" t="s">
        <v>989</v>
      </c>
      <c r="C64" s="1052" t="s">
        <v>1065</v>
      </c>
      <c r="D64" s="1052" t="s">
        <v>1670</v>
      </c>
      <c r="E64" s="1060" t="s">
        <v>1595</v>
      </c>
      <c r="F64" s="1051">
        <v>21745.467170742995</v>
      </c>
      <c r="G64" s="1356" t="s">
        <v>836</v>
      </c>
      <c r="H64" s="1356" t="s">
        <v>836</v>
      </c>
      <c r="I64" s="1746"/>
      <c r="J64" s="1732"/>
      <c r="K64" s="1051"/>
      <c r="L64" s="1059">
        <f>F64+K64</f>
        <v>21745.467170742995</v>
      </c>
      <c r="M64" s="1091"/>
      <c r="N64" s="1061"/>
      <c r="O64" s="1056">
        <f>L64+N64</f>
        <v>21745.467170742995</v>
      </c>
      <c r="P64" s="1091"/>
    </row>
    <row r="65" spans="1:16" ht="28.5" x14ac:dyDescent="0.25">
      <c r="A65" s="1090">
        <v>2</v>
      </c>
      <c r="B65" s="1052" t="s">
        <v>989</v>
      </c>
      <c r="C65" s="1052" t="s">
        <v>1065</v>
      </c>
      <c r="D65" s="1052" t="s">
        <v>1671</v>
      </c>
      <c r="E65" s="1060" t="s">
        <v>1594</v>
      </c>
      <c r="F65" s="1051">
        <v>13596.713216572796</v>
      </c>
      <c r="G65" s="1356" t="s">
        <v>836</v>
      </c>
      <c r="H65" s="1356" t="s">
        <v>836</v>
      </c>
      <c r="I65" s="1731"/>
      <c r="J65" s="1732"/>
      <c r="K65" s="1051"/>
      <c r="L65" s="1059">
        <f t="shared" ref="L65:L113" si="2">F65+K65</f>
        <v>13596.713216572796</v>
      </c>
      <c r="M65" s="1091"/>
      <c r="N65" s="1057"/>
      <c r="O65" s="1056">
        <f t="shared" ref="O65:O113" si="3">L65+N65</f>
        <v>13596.713216572796</v>
      </c>
      <c r="P65" s="1091"/>
    </row>
    <row r="66" spans="1:16" ht="42.75" x14ac:dyDescent="0.25">
      <c r="A66" s="1090">
        <v>3</v>
      </c>
      <c r="B66" s="1052" t="s">
        <v>989</v>
      </c>
      <c r="C66" s="1052" t="s">
        <v>1065</v>
      </c>
      <c r="D66" s="1052" t="s">
        <v>1672</v>
      </c>
      <c r="E66" s="1060" t="s">
        <v>1596</v>
      </c>
      <c r="F66" s="1051">
        <v>35143.893218115889</v>
      </c>
      <c r="G66" s="1356" t="s">
        <v>836</v>
      </c>
      <c r="H66" s="1356" t="s">
        <v>836</v>
      </c>
      <c r="I66" s="1731"/>
      <c r="J66" s="1732"/>
      <c r="K66" s="1051"/>
      <c r="L66" s="1059">
        <f t="shared" si="2"/>
        <v>35143.893218115889</v>
      </c>
      <c r="M66" s="1091"/>
      <c r="N66" s="1057"/>
      <c r="O66" s="1056">
        <f t="shared" si="3"/>
        <v>35143.893218115889</v>
      </c>
      <c r="P66" s="1091"/>
    </row>
    <row r="67" spans="1:16" ht="15" x14ac:dyDescent="0.25">
      <c r="A67" s="1090">
        <v>4</v>
      </c>
      <c r="B67" s="1052" t="s">
        <v>989</v>
      </c>
      <c r="C67" s="1052" t="s">
        <v>1067</v>
      </c>
      <c r="D67" s="1052" t="s">
        <v>1673</v>
      </c>
      <c r="E67" s="1060" t="s">
        <v>1589</v>
      </c>
      <c r="F67" s="1051">
        <v>1807.3451122598565</v>
      </c>
      <c r="G67" s="1356" t="s">
        <v>836</v>
      </c>
      <c r="H67" s="1356" t="s">
        <v>836</v>
      </c>
      <c r="I67" s="1731"/>
      <c r="J67" s="1732"/>
      <c r="K67" s="1051"/>
      <c r="L67" s="1059">
        <f t="shared" si="2"/>
        <v>1807.3451122598565</v>
      </c>
      <c r="M67" s="1091"/>
      <c r="N67" s="1057"/>
      <c r="O67" s="1056">
        <f t="shared" si="3"/>
        <v>1807.3451122598565</v>
      </c>
      <c r="P67" s="1091"/>
    </row>
    <row r="68" spans="1:16" ht="42.75" x14ac:dyDescent="0.25">
      <c r="A68" s="1090">
        <v>5</v>
      </c>
      <c r="B68" s="1052" t="s">
        <v>989</v>
      </c>
      <c r="C68" s="1052" t="s">
        <v>1067</v>
      </c>
      <c r="D68" s="1052" t="s">
        <v>1674</v>
      </c>
      <c r="E68" s="1060" t="s">
        <v>1584</v>
      </c>
      <c r="F68" s="1051">
        <v>7723.5707121364094</v>
      </c>
      <c r="G68" s="1356" t="s">
        <v>836</v>
      </c>
      <c r="H68" s="1356" t="s">
        <v>836</v>
      </c>
      <c r="I68" s="1731"/>
      <c r="J68" s="1732"/>
      <c r="K68" s="1051"/>
      <c r="L68" s="1059">
        <f t="shared" si="2"/>
        <v>7723.5707121364094</v>
      </c>
      <c r="M68" s="1091"/>
      <c r="N68" s="1057"/>
      <c r="O68" s="1056">
        <f t="shared" si="3"/>
        <v>7723.5707121364094</v>
      </c>
      <c r="P68" s="1091"/>
    </row>
    <row r="69" spans="1:16" ht="42.75" x14ac:dyDescent="0.25">
      <c r="A69" s="1090">
        <v>6</v>
      </c>
      <c r="B69" s="1052" t="s">
        <v>989</v>
      </c>
      <c r="C69" s="1052" t="s">
        <v>1067</v>
      </c>
      <c r="D69" s="1052" t="s">
        <v>1665</v>
      </c>
      <c r="E69" s="1060" t="s">
        <v>1590</v>
      </c>
      <c r="F69" s="1051">
        <v>5034.6423887045794</v>
      </c>
      <c r="G69" s="1356" t="s">
        <v>836</v>
      </c>
      <c r="H69" s="1356" t="s">
        <v>836</v>
      </c>
      <c r="I69" s="1731"/>
      <c r="J69" s="1732"/>
      <c r="K69" s="1051"/>
      <c r="L69" s="1059">
        <f t="shared" si="2"/>
        <v>5034.6423887045794</v>
      </c>
      <c r="M69" s="1091"/>
      <c r="N69" s="1057"/>
      <c r="O69" s="1056">
        <f t="shared" si="3"/>
        <v>5034.6423887045794</v>
      </c>
      <c r="P69" s="1091"/>
    </row>
    <row r="70" spans="1:16" ht="57" x14ac:dyDescent="0.25">
      <c r="A70" s="1090">
        <v>7</v>
      </c>
      <c r="B70" s="1052" t="s">
        <v>989</v>
      </c>
      <c r="C70" s="1052" t="s">
        <v>1067</v>
      </c>
      <c r="D70" s="1052" t="s">
        <v>1687</v>
      </c>
      <c r="E70" s="1060" t="s">
        <v>1582</v>
      </c>
      <c r="F70" s="1051">
        <v>379.4108865056711</v>
      </c>
      <c r="G70" s="1356" t="s">
        <v>836</v>
      </c>
      <c r="H70" s="1356" t="s">
        <v>836</v>
      </c>
      <c r="I70" s="1731"/>
      <c r="J70" s="1732"/>
      <c r="K70" s="1051"/>
      <c r="L70" s="1059">
        <f t="shared" si="2"/>
        <v>379.4108865056711</v>
      </c>
      <c r="M70" s="1091"/>
      <c r="N70" s="1057"/>
      <c r="O70" s="1056">
        <f t="shared" si="3"/>
        <v>379.4108865056711</v>
      </c>
      <c r="P70" s="1091"/>
    </row>
    <row r="71" spans="1:16" ht="57" x14ac:dyDescent="0.25">
      <c r="A71" s="1090">
        <v>8</v>
      </c>
      <c r="B71" s="1052" t="s">
        <v>989</v>
      </c>
      <c r="C71" s="1052" t="s">
        <v>1067</v>
      </c>
      <c r="D71" s="1052" t="s">
        <v>1688</v>
      </c>
      <c r="E71" s="1060" t="s">
        <v>1582</v>
      </c>
      <c r="F71" s="1051">
        <v>502.94001234472603</v>
      </c>
      <c r="G71" s="1356" t="s">
        <v>836</v>
      </c>
      <c r="H71" s="1356" t="s">
        <v>836</v>
      </c>
      <c r="I71" s="1731"/>
      <c r="J71" s="1732"/>
      <c r="K71" s="1051"/>
      <c r="L71" s="1059">
        <f t="shared" si="2"/>
        <v>502.94001234472603</v>
      </c>
      <c r="M71" s="1091"/>
      <c r="N71" s="1057"/>
      <c r="O71" s="1056">
        <f t="shared" si="3"/>
        <v>502.94001234472603</v>
      </c>
      <c r="P71" s="1091"/>
    </row>
    <row r="72" spans="1:16" ht="28.5" x14ac:dyDescent="0.25">
      <c r="A72" s="1090">
        <v>9</v>
      </c>
      <c r="B72" s="1052" t="s">
        <v>989</v>
      </c>
      <c r="C72" s="1052" t="s">
        <v>1067</v>
      </c>
      <c r="D72" s="1052" t="s">
        <v>1675</v>
      </c>
      <c r="E72" s="1060" t="s">
        <v>1582</v>
      </c>
      <c r="F72" s="1051">
        <v>13605.639996913818</v>
      </c>
      <c r="G72" s="1356" t="s">
        <v>836</v>
      </c>
      <c r="H72" s="1356" t="s">
        <v>836</v>
      </c>
      <c r="I72" s="1731"/>
      <c r="J72" s="1732"/>
      <c r="K72" s="1051"/>
      <c r="L72" s="1059">
        <f t="shared" si="2"/>
        <v>13605.639996913818</v>
      </c>
      <c r="M72" s="1091"/>
      <c r="N72" s="1057"/>
      <c r="O72" s="1056">
        <f t="shared" si="3"/>
        <v>13605.639996913818</v>
      </c>
      <c r="P72" s="1091"/>
    </row>
    <row r="73" spans="1:16" ht="57" x14ac:dyDescent="0.25">
      <c r="A73" s="1090">
        <v>10</v>
      </c>
      <c r="B73" s="1052" t="s">
        <v>1078</v>
      </c>
      <c r="C73" s="1052" t="s">
        <v>1598</v>
      </c>
      <c r="D73" s="1052" t="s">
        <v>1689</v>
      </c>
      <c r="E73" s="1060" t="s">
        <v>1582</v>
      </c>
      <c r="F73" s="1051">
        <v>4040.2743615461773</v>
      </c>
      <c r="G73" s="1356" t="s">
        <v>836</v>
      </c>
      <c r="H73" s="1356" t="s">
        <v>836</v>
      </c>
      <c r="I73" s="1731"/>
      <c r="J73" s="1732"/>
      <c r="K73" s="1051"/>
      <c r="L73" s="1059">
        <f t="shared" si="2"/>
        <v>4040.2743615461773</v>
      </c>
      <c r="M73" s="1091"/>
      <c r="N73" s="1057"/>
      <c r="O73" s="1056">
        <f t="shared" si="3"/>
        <v>4040.2743615461773</v>
      </c>
      <c r="P73" s="1091"/>
    </row>
    <row r="74" spans="1:16" ht="57" x14ac:dyDescent="0.25">
      <c r="A74" s="1090">
        <v>11</v>
      </c>
      <c r="B74" s="1052" t="s">
        <v>1078</v>
      </c>
      <c r="C74" s="1052" t="s">
        <v>1598</v>
      </c>
      <c r="D74" s="1052" t="s">
        <v>1690</v>
      </c>
      <c r="E74" s="1060" t="s">
        <v>1582</v>
      </c>
      <c r="F74" s="1051">
        <v>56563.841061646483</v>
      </c>
      <c r="G74" s="1356" t="s">
        <v>836</v>
      </c>
      <c r="H74" s="1356" t="s">
        <v>836</v>
      </c>
      <c r="I74" s="1731"/>
      <c r="J74" s="1732"/>
      <c r="K74" s="1051"/>
      <c r="L74" s="1059">
        <f t="shared" si="2"/>
        <v>56563.841061646483</v>
      </c>
      <c r="M74" s="1091"/>
      <c r="N74" s="1057"/>
      <c r="O74" s="1056">
        <f t="shared" si="3"/>
        <v>56563.841061646483</v>
      </c>
      <c r="P74" s="1091"/>
    </row>
    <row r="75" spans="1:16" ht="42.75" x14ac:dyDescent="0.25">
      <c r="A75" s="1090">
        <v>12</v>
      </c>
      <c r="B75" s="1052" t="s">
        <v>1583</v>
      </c>
      <c r="C75" s="1052" t="s">
        <v>847</v>
      </c>
      <c r="D75" s="1052" t="s">
        <v>1691</v>
      </c>
      <c r="E75" s="1060" t="s">
        <v>1599</v>
      </c>
      <c r="F75" s="1051">
        <v>1944.9540930483759</v>
      </c>
      <c r="G75" s="1356" t="s">
        <v>836</v>
      </c>
      <c r="H75" s="1356" t="s">
        <v>836</v>
      </c>
      <c r="I75" s="1731"/>
      <c r="J75" s="1732"/>
      <c r="K75" s="1051"/>
      <c r="L75" s="1059">
        <f t="shared" si="2"/>
        <v>1944.9540930483759</v>
      </c>
      <c r="M75" s="1091"/>
      <c r="N75" s="1057"/>
      <c r="O75" s="1056">
        <f t="shared" si="3"/>
        <v>1944.9540930483759</v>
      </c>
      <c r="P75" s="1091"/>
    </row>
    <row r="76" spans="1:16" ht="57" x14ac:dyDescent="0.25">
      <c r="A76" s="1090">
        <v>13</v>
      </c>
      <c r="B76" s="1052" t="s">
        <v>1580</v>
      </c>
      <c r="C76" s="1052" t="s">
        <v>1013</v>
      </c>
      <c r="D76" s="1052" t="s">
        <v>1676</v>
      </c>
      <c r="E76" s="1060" t="s">
        <v>1581</v>
      </c>
      <c r="F76" s="1051">
        <v>50604.989391250674</v>
      </c>
      <c r="G76" s="1356" t="s">
        <v>836</v>
      </c>
      <c r="H76" s="1356" t="s">
        <v>836</v>
      </c>
      <c r="I76" s="1731"/>
      <c r="J76" s="1732"/>
      <c r="K76" s="1051"/>
      <c r="L76" s="1059">
        <f t="shared" si="2"/>
        <v>50604.989391250674</v>
      </c>
      <c r="M76" s="1091"/>
      <c r="N76" s="1057"/>
      <c r="O76" s="1056">
        <f t="shared" si="3"/>
        <v>50604.989391250674</v>
      </c>
      <c r="P76" s="1091"/>
    </row>
    <row r="77" spans="1:16" ht="57" x14ac:dyDescent="0.25">
      <c r="A77" s="1090">
        <v>14</v>
      </c>
      <c r="B77" s="1052" t="s">
        <v>1580</v>
      </c>
      <c r="C77" s="1052" t="s">
        <v>1013</v>
      </c>
      <c r="D77" s="1052" t="s">
        <v>1677</v>
      </c>
      <c r="E77" s="1060" t="s">
        <v>1581</v>
      </c>
      <c r="F77" s="1051">
        <v>25302.494695625337</v>
      </c>
      <c r="G77" s="1356" t="s">
        <v>836</v>
      </c>
      <c r="H77" s="1356" t="s">
        <v>836</v>
      </c>
      <c r="I77" s="1731"/>
      <c r="J77" s="1732"/>
      <c r="K77" s="1051"/>
      <c r="L77" s="1059">
        <f t="shared" si="2"/>
        <v>25302.494695625337</v>
      </c>
      <c r="M77" s="1091"/>
      <c r="N77" s="1057"/>
      <c r="O77" s="1056">
        <f t="shared" si="3"/>
        <v>25302.494695625337</v>
      </c>
      <c r="P77" s="1091"/>
    </row>
    <row r="78" spans="1:16" ht="57" x14ac:dyDescent="0.25">
      <c r="A78" s="1090">
        <v>15</v>
      </c>
      <c r="B78" s="1052" t="s">
        <v>1580</v>
      </c>
      <c r="C78" s="1052" t="s">
        <v>1013</v>
      </c>
      <c r="D78" s="1052" t="s">
        <v>1692</v>
      </c>
      <c r="E78" s="1060" t="s">
        <v>1581</v>
      </c>
      <c r="F78" s="1051">
        <v>6550.4204922459685</v>
      </c>
      <c r="G78" s="1356" t="s">
        <v>836</v>
      </c>
      <c r="H78" s="1356" t="s">
        <v>836</v>
      </c>
      <c r="I78" s="1731"/>
      <c r="J78" s="1732"/>
      <c r="K78" s="1051"/>
      <c r="L78" s="1059">
        <f t="shared" si="2"/>
        <v>6550.4204922459685</v>
      </c>
      <c r="M78" s="1091"/>
      <c r="N78" s="1057"/>
      <c r="O78" s="1056">
        <f t="shared" si="3"/>
        <v>6550.4204922459685</v>
      </c>
      <c r="P78" s="1091"/>
    </row>
    <row r="79" spans="1:16" ht="57" x14ac:dyDescent="0.25">
      <c r="A79" s="1090">
        <v>16</v>
      </c>
      <c r="B79" s="1052" t="s">
        <v>1580</v>
      </c>
      <c r="C79" s="1052" t="s">
        <v>1013</v>
      </c>
      <c r="D79" s="1052" t="s">
        <v>1678</v>
      </c>
      <c r="E79" s="1060" t="s">
        <v>1582</v>
      </c>
      <c r="F79" s="1051">
        <v>4417.8958992361695</v>
      </c>
      <c r="G79" s="1356" t="s">
        <v>836</v>
      </c>
      <c r="H79" s="1356" t="s">
        <v>836</v>
      </c>
      <c r="I79" s="1731"/>
      <c r="J79" s="1732"/>
      <c r="K79" s="1051"/>
      <c r="L79" s="1059">
        <f t="shared" si="2"/>
        <v>4417.8958992361695</v>
      </c>
      <c r="M79" s="1091"/>
      <c r="N79" s="1057"/>
      <c r="O79" s="1056">
        <f t="shared" si="3"/>
        <v>4417.8958992361695</v>
      </c>
      <c r="P79" s="1091"/>
    </row>
    <row r="80" spans="1:16" ht="57" x14ac:dyDescent="0.25">
      <c r="A80" s="1090">
        <v>17</v>
      </c>
      <c r="B80" s="1052" t="s">
        <v>1580</v>
      </c>
      <c r="C80" s="1052" t="s">
        <v>1013</v>
      </c>
      <c r="D80" s="1052" t="s">
        <v>1693</v>
      </c>
      <c r="E80" s="1060" t="s">
        <v>1581</v>
      </c>
      <c r="F80" s="1051">
        <v>8363.5521950466791</v>
      </c>
      <c r="G80" s="1356" t="s">
        <v>836</v>
      </c>
      <c r="H80" s="1356" t="s">
        <v>836</v>
      </c>
      <c r="I80" s="1731"/>
      <c r="J80" s="1732"/>
      <c r="K80" s="1051"/>
      <c r="L80" s="1059">
        <f t="shared" si="2"/>
        <v>8363.5521950466791</v>
      </c>
      <c r="M80" s="1091"/>
      <c r="N80" s="1057"/>
      <c r="O80" s="1056">
        <f t="shared" si="3"/>
        <v>8363.5521950466791</v>
      </c>
      <c r="P80" s="1091"/>
    </row>
    <row r="81" spans="1:16" ht="28.5" x14ac:dyDescent="0.25">
      <c r="A81" s="1090">
        <v>18</v>
      </c>
      <c r="B81" s="1052" t="s">
        <v>1583</v>
      </c>
      <c r="C81" s="1052" t="s">
        <v>847</v>
      </c>
      <c r="D81" s="1052" t="s">
        <v>1679</v>
      </c>
      <c r="E81" s="1060" t="s">
        <v>1584</v>
      </c>
      <c r="F81" s="1051">
        <v>13605.639996913818</v>
      </c>
      <c r="G81" s="1356" t="s">
        <v>836</v>
      </c>
      <c r="H81" s="1356" t="s">
        <v>836</v>
      </c>
      <c r="I81" s="1731"/>
      <c r="J81" s="1732"/>
      <c r="K81" s="1051"/>
      <c r="L81" s="1059">
        <f t="shared" si="2"/>
        <v>13605.639996913818</v>
      </c>
      <c r="M81" s="1091"/>
      <c r="N81" s="1057"/>
      <c r="O81" s="1056">
        <f t="shared" si="3"/>
        <v>13605.639996913818</v>
      </c>
      <c r="P81" s="1091"/>
    </row>
    <row r="82" spans="1:16" ht="28.5" x14ac:dyDescent="0.25">
      <c r="A82" s="1090">
        <v>19</v>
      </c>
      <c r="B82" s="1052" t="s">
        <v>1583</v>
      </c>
      <c r="C82" s="1052" t="s">
        <v>847</v>
      </c>
      <c r="D82" s="1052" t="s">
        <v>1680</v>
      </c>
      <c r="E82" s="1060" t="s">
        <v>1584</v>
      </c>
      <c r="F82" s="1051">
        <v>7723.5707121364094</v>
      </c>
      <c r="G82" s="1356" t="s">
        <v>836</v>
      </c>
      <c r="H82" s="1356" t="s">
        <v>836</v>
      </c>
      <c r="I82" s="1731"/>
      <c r="J82" s="1732"/>
      <c r="K82" s="1051"/>
      <c r="L82" s="1059">
        <f t="shared" si="2"/>
        <v>7723.5707121364094</v>
      </c>
      <c r="M82" s="1091"/>
      <c r="N82" s="1057"/>
      <c r="O82" s="1056">
        <f t="shared" si="3"/>
        <v>7723.5707121364094</v>
      </c>
      <c r="P82" s="1091"/>
    </row>
    <row r="83" spans="1:16" ht="57" x14ac:dyDescent="0.25">
      <c r="A83" s="1090">
        <v>20</v>
      </c>
      <c r="B83" s="1052" t="s">
        <v>1580</v>
      </c>
      <c r="C83" s="1052" t="s">
        <v>1013</v>
      </c>
      <c r="D83" s="1052" t="s">
        <v>1694</v>
      </c>
      <c r="E83" s="1060" t="s">
        <v>1600</v>
      </c>
      <c r="F83" s="1051">
        <v>5994.9078003240493</v>
      </c>
      <c r="G83" s="1356" t="s">
        <v>836</v>
      </c>
      <c r="H83" s="1356" t="s">
        <v>836</v>
      </c>
      <c r="I83" s="1731"/>
      <c r="J83" s="1732"/>
      <c r="K83" s="1051"/>
      <c r="L83" s="1059">
        <f t="shared" si="2"/>
        <v>5994.9078003240493</v>
      </c>
      <c r="M83" s="1091"/>
      <c r="N83" s="1057"/>
      <c r="O83" s="1056">
        <f t="shared" si="3"/>
        <v>5994.9078003240493</v>
      </c>
      <c r="P83" s="1091"/>
    </row>
    <row r="84" spans="1:16" ht="71.25" x14ac:dyDescent="0.25">
      <c r="A84" s="1090">
        <v>21</v>
      </c>
      <c r="B84" s="1052" t="s">
        <v>1601</v>
      </c>
      <c r="C84" s="1052" t="s">
        <v>1076</v>
      </c>
      <c r="D84" s="1052" t="s">
        <v>1695</v>
      </c>
      <c r="E84" s="1060" t="s">
        <v>1581</v>
      </c>
      <c r="F84" s="1051">
        <v>29948.469253915599</v>
      </c>
      <c r="G84" s="1356" t="s">
        <v>836</v>
      </c>
      <c r="H84" s="1356" t="s">
        <v>836</v>
      </c>
      <c r="I84" s="1731"/>
      <c r="J84" s="1732"/>
      <c r="K84" s="1051"/>
      <c r="L84" s="1059">
        <f t="shared" si="2"/>
        <v>29948.469253915599</v>
      </c>
      <c r="M84" s="1091"/>
      <c r="N84" s="1057"/>
      <c r="O84" s="1056">
        <f t="shared" si="3"/>
        <v>29948.469253915599</v>
      </c>
      <c r="P84" s="1091"/>
    </row>
    <row r="85" spans="1:16" ht="15" x14ac:dyDescent="0.25">
      <c r="A85" s="1090">
        <v>22</v>
      </c>
      <c r="B85" s="1052" t="s">
        <v>1081</v>
      </c>
      <c r="C85" s="1052" t="s">
        <v>1082</v>
      </c>
      <c r="D85" s="1052" t="s">
        <v>1681</v>
      </c>
      <c r="E85" s="1060" t="s">
        <v>1584</v>
      </c>
      <c r="F85" s="1051">
        <v>7723.5707121364094</v>
      </c>
      <c r="G85" s="1356" t="s">
        <v>836</v>
      </c>
      <c r="H85" s="1356" t="s">
        <v>836</v>
      </c>
      <c r="I85" s="1731"/>
      <c r="J85" s="1732"/>
      <c r="K85" s="1051"/>
      <c r="L85" s="1059">
        <f t="shared" si="2"/>
        <v>7723.5707121364094</v>
      </c>
      <c r="M85" s="1091"/>
      <c r="N85" s="1057"/>
      <c r="O85" s="1056">
        <f t="shared" si="3"/>
        <v>7723.5707121364094</v>
      </c>
      <c r="P85" s="1091"/>
    </row>
    <row r="86" spans="1:16" ht="15" x14ac:dyDescent="0.25">
      <c r="A86" s="1090">
        <v>23</v>
      </c>
      <c r="B86" s="1052" t="s">
        <v>1081</v>
      </c>
      <c r="C86" s="1052" t="s">
        <v>1082</v>
      </c>
      <c r="D86" s="1052" t="s">
        <v>1682</v>
      </c>
      <c r="E86" s="1060" t="s">
        <v>1591</v>
      </c>
      <c r="F86" s="1051">
        <v>192.88635136177763</v>
      </c>
      <c r="G86" s="1356" t="s">
        <v>836</v>
      </c>
      <c r="H86" s="1356" t="s">
        <v>836</v>
      </c>
      <c r="I86" s="1731"/>
      <c r="J86" s="1732"/>
      <c r="K86" s="1051"/>
      <c r="L86" s="1059">
        <f t="shared" si="2"/>
        <v>192.88635136177763</v>
      </c>
      <c r="M86" s="1091"/>
      <c r="N86" s="1057"/>
      <c r="O86" s="1056">
        <f t="shared" si="3"/>
        <v>192.88635136177763</v>
      </c>
      <c r="P86" s="1091"/>
    </row>
    <row r="87" spans="1:16" ht="15" x14ac:dyDescent="0.25">
      <c r="A87" s="1090">
        <v>24</v>
      </c>
      <c r="B87" s="1052" t="s">
        <v>1081</v>
      </c>
      <c r="C87" s="1052" t="s">
        <v>1082</v>
      </c>
      <c r="D87" s="1052" t="s">
        <v>1696</v>
      </c>
      <c r="E87" s="1060" t="s">
        <v>1592</v>
      </c>
      <c r="F87" s="1051">
        <v>327.50559370418949</v>
      </c>
      <c r="G87" s="1356" t="s">
        <v>836</v>
      </c>
      <c r="H87" s="1356" t="s">
        <v>836</v>
      </c>
      <c r="I87" s="1731"/>
      <c r="J87" s="1732"/>
      <c r="K87" s="1051"/>
      <c r="L87" s="1059">
        <f t="shared" si="2"/>
        <v>327.50559370418949</v>
      </c>
      <c r="M87" s="1091"/>
      <c r="N87" s="1057"/>
      <c r="O87" s="1056">
        <f t="shared" si="3"/>
        <v>327.50559370418949</v>
      </c>
      <c r="P87" s="1091"/>
    </row>
    <row r="88" spans="1:16" ht="15" x14ac:dyDescent="0.25">
      <c r="A88" s="1090">
        <v>25</v>
      </c>
      <c r="B88" s="1052" t="s">
        <v>1081</v>
      </c>
      <c r="C88" s="1052" t="s">
        <v>1082</v>
      </c>
      <c r="D88" s="1052" t="s">
        <v>1683</v>
      </c>
      <c r="E88" s="1060" t="s">
        <v>1597</v>
      </c>
      <c r="F88" s="1051">
        <v>1600.9567163027543</v>
      </c>
      <c r="G88" s="1356" t="s">
        <v>836</v>
      </c>
      <c r="H88" s="1356" t="s">
        <v>836</v>
      </c>
      <c r="I88" s="1731"/>
      <c r="J88" s="1732"/>
      <c r="K88" s="1051"/>
      <c r="L88" s="1059">
        <f t="shared" si="2"/>
        <v>1600.9567163027543</v>
      </c>
      <c r="M88" s="1091"/>
      <c r="N88" s="1057"/>
      <c r="O88" s="1056">
        <f t="shared" si="3"/>
        <v>1600.9567163027543</v>
      </c>
      <c r="P88" s="1091"/>
    </row>
    <row r="89" spans="1:16" ht="28.5" x14ac:dyDescent="0.25">
      <c r="A89" s="1090">
        <v>26</v>
      </c>
      <c r="B89" s="1052" t="s">
        <v>1583</v>
      </c>
      <c r="C89" s="1052" t="s">
        <v>847</v>
      </c>
      <c r="D89" s="1052" t="s">
        <v>1666</v>
      </c>
      <c r="E89" s="1060" t="s">
        <v>1584</v>
      </c>
      <c r="F89" s="1051">
        <v>7723.5707121364094</v>
      </c>
      <c r="G89" s="1356" t="s">
        <v>836</v>
      </c>
      <c r="H89" s="1356" t="s">
        <v>836</v>
      </c>
      <c r="I89" s="1731"/>
      <c r="J89" s="1732"/>
      <c r="K89" s="1051"/>
      <c r="L89" s="1059">
        <f t="shared" si="2"/>
        <v>7723.5707121364094</v>
      </c>
      <c r="M89" s="1091"/>
      <c r="N89" s="1057"/>
      <c r="O89" s="1056">
        <f t="shared" si="3"/>
        <v>7723.5707121364094</v>
      </c>
      <c r="P89" s="1091"/>
    </row>
    <row r="90" spans="1:16" ht="28.5" x14ac:dyDescent="0.25">
      <c r="A90" s="1090">
        <v>27</v>
      </c>
      <c r="B90" s="1052" t="s">
        <v>989</v>
      </c>
      <c r="C90" s="1052" t="s">
        <v>1067</v>
      </c>
      <c r="D90" s="1052" t="s">
        <v>1697</v>
      </c>
      <c r="E90" s="1060" t="s">
        <v>1602</v>
      </c>
      <c r="F90" s="1051">
        <v>713.29372733585365</v>
      </c>
      <c r="G90" s="1356" t="s">
        <v>836</v>
      </c>
      <c r="H90" s="1356" t="s">
        <v>836</v>
      </c>
      <c r="I90" s="1731"/>
      <c r="J90" s="1732"/>
      <c r="K90" s="1051"/>
      <c r="L90" s="1059">
        <f t="shared" si="2"/>
        <v>713.29372733585365</v>
      </c>
      <c r="M90" s="1091"/>
      <c r="N90" s="1057"/>
      <c r="O90" s="1056">
        <f t="shared" si="3"/>
        <v>713.29372733585365</v>
      </c>
      <c r="P90" s="1091"/>
    </row>
    <row r="91" spans="1:16" ht="15" x14ac:dyDescent="0.25">
      <c r="A91" s="1090">
        <v>28</v>
      </c>
      <c r="B91" s="1052" t="s">
        <v>989</v>
      </c>
      <c r="C91" s="1052" t="s">
        <v>1067</v>
      </c>
      <c r="D91" s="1052" t="s">
        <v>1654</v>
      </c>
      <c r="E91" s="1060" t="s">
        <v>1591</v>
      </c>
      <c r="F91" s="1051">
        <v>4034.7118277910658</v>
      </c>
      <c r="G91" s="1356" t="s">
        <v>836</v>
      </c>
      <c r="H91" s="1356" t="s">
        <v>836</v>
      </c>
      <c r="I91" s="1731" t="s">
        <v>1698</v>
      </c>
      <c r="J91" s="1732"/>
      <c r="K91" s="1051"/>
      <c r="L91" s="1059">
        <f t="shared" si="2"/>
        <v>4034.7118277910658</v>
      </c>
      <c r="M91" s="1091"/>
      <c r="N91" s="1057"/>
      <c r="O91" s="1056">
        <f t="shared" si="3"/>
        <v>4034.7118277910658</v>
      </c>
      <c r="P91" s="1091"/>
    </row>
    <row r="92" spans="1:16" ht="71.25" x14ac:dyDescent="0.25">
      <c r="A92" s="1090">
        <v>29</v>
      </c>
      <c r="B92" s="1052" t="s">
        <v>989</v>
      </c>
      <c r="C92" s="1052" t="s">
        <v>1065</v>
      </c>
      <c r="D92" s="1052" t="s">
        <v>1699</v>
      </c>
      <c r="E92" s="1060" t="s">
        <v>1581</v>
      </c>
      <c r="F92" s="1051">
        <v>17821.927320422805</v>
      </c>
      <c r="G92" s="1356" t="s">
        <v>836</v>
      </c>
      <c r="H92" s="1356" t="s">
        <v>836</v>
      </c>
      <c r="I92" s="1731" t="s">
        <v>1698</v>
      </c>
      <c r="J92" s="1732"/>
      <c r="K92" s="1051"/>
      <c r="L92" s="1059">
        <f t="shared" si="2"/>
        <v>17821.927320422805</v>
      </c>
      <c r="M92" s="1091"/>
      <c r="N92" s="1057"/>
      <c r="O92" s="1056">
        <f t="shared" si="3"/>
        <v>17821.927320422805</v>
      </c>
      <c r="P92" s="1091"/>
    </row>
    <row r="93" spans="1:16" ht="71.25" x14ac:dyDescent="0.25">
      <c r="A93" s="1090">
        <v>30</v>
      </c>
      <c r="B93" s="1052" t="s">
        <v>989</v>
      </c>
      <c r="C93" s="1052" t="s">
        <v>1065</v>
      </c>
      <c r="D93" s="1052" t="s">
        <v>1700</v>
      </c>
      <c r="E93" s="1060" t="s">
        <v>1582</v>
      </c>
      <c r="F93" s="1051">
        <v>6943.9086490239952</v>
      </c>
      <c r="G93" s="1356" t="s">
        <v>836</v>
      </c>
      <c r="H93" s="1356" t="s">
        <v>836</v>
      </c>
      <c r="I93" s="1731" t="s">
        <v>1698</v>
      </c>
      <c r="J93" s="1732"/>
      <c r="K93" s="1051"/>
      <c r="L93" s="1059">
        <f t="shared" si="2"/>
        <v>6943.9086490239952</v>
      </c>
      <c r="M93" s="1091"/>
      <c r="N93" s="1057"/>
      <c r="O93" s="1056">
        <f t="shared" si="3"/>
        <v>6943.9086490239952</v>
      </c>
      <c r="P93" s="1091"/>
    </row>
    <row r="94" spans="1:16" ht="71.25" x14ac:dyDescent="0.25">
      <c r="A94" s="1090">
        <v>31</v>
      </c>
      <c r="B94" s="1052" t="s">
        <v>989</v>
      </c>
      <c r="C94" s="1052" t="s">
        <v>1065</v>
      </c>
      <c r="D94" s="1052" t="s">
        <v>1701</v>
      </c>
      <c r="E94" s="1060" t="s">
        <v>1582</v>
      </c>
      <c r="F94" s="1051">
        <v>1770.6967055011187</v>
      </c>
      <c r="G94" s="1356" t="s">
        <v>836</v>
      </c>
      <c r="H94" s="1356" t="s">
        <v>836</v>
      </c>
      <c r="I94" s="1731" t="s">
        <v>1698</v>
      </c>
      <c r="J94" s="1732"/>
      <c r="K94" s="1051"/>
      <c r="L94" s="1059">
        <f t="shared" si="2"/>
        <v>1770.6967055011187</v>
      </c>
      <c r="M94" s="1091"/>
      <c r="N94" s="1057"/>
      <c r="O94" s="1056">
        <f t="shared" si="3"/>
        <v>1770.6967055011187</v>
      </c>
      <c r="P94" s="1091"/>
    </row>
    <row r="95" spans="1:16" ht="71.25" x14ac:dyDescent="0.25">
      <c r="A95" s="1090">
        <v>32</v>
      </c>
      <c r="B95" s="1052" t="s">
        <v>989</v>
      </c>
      <c r="C95" s="1052" t="s">
        <v>1065</v>
      </c>
      <c r="D95" s="1052" t="s">
        <v>1701</v>
      </c>
      <c r="E95" s="1060" t="s">
        <v>1702</v>
      </c>
      <c r="F95" s="1051">
        <v>8019.8287169199903</v>
      </c>
      <c r="G95" s="1356" t="s">
        <v>836</v>
      </c>
      <c r="H95" s="1356" t="s">
        <v>836</v>
      </c>
      <c r="I95" s="1731" t="s">
        <v>1698</v>
      </c>
      <c r="J95" s="1732"/>
      <c r="K95" s="1051"/>
      <c r="L95" s="1059">
        <f t="shared" si="2"/>
        <v>8019.8287169199903</v>
      </c>
      <c r="M95" s="1091"/>
      <c r="N95" s="1057"/>
      <c r="O95" s="1056">
        <f t="shared" si="3"/>
        <v>8019.8287169199903</v>
      </c>
      <c r="P95" s="1091"/>
    </row>
    <row r="96" spans="1:16" ht="71.25" x14ac:dyDescent="0.25">
      <c r="A96" s="1090">
        <v>33</v>
      </c>
      <c r="B96" s="1052" t="s">
        <v>989</v>
      </c>
      <c r="C96" s="1052" t="s">
        <v>1065</v>
      </c>
      <c r="D96" s="1052" t="s">
        <v>1658</v>
      </c>
      <c r="E96" s="1060" t="s">
        <v>1585</v>
      </c>
      <c r="F96" s="1051">
        <v>6943.9086490239952</v>
      </c>
      <c r="G96" s="1356" t="s">
        <v>836</v>
      </c>
      <c r="H96" s="1356" t="s">
        <v>836</v>
      </c>
      <c r="I96" s="1731" t="s">
        <v>1698</v>
      </c>
      <c r="J96" s="1732"/>
      <c r="K96" s="1051"/>
      <c r="L96" s="1059">
        <f t="shared" si="2"/>
        <v>6943.9086490239952</v>
      </c>
      <c r="M96" s="1091"/>
      <c r="N96" s="1057"/>
      <c r="O96" s="1056">
        <f t="shared" si="3"/>
        <v>6943.9086490239952</v>
      </c>
      <c r="P96" s="1091"/>
    </row>
    <row r="97" spans="1:16" ht="42.75" x14ac:dyDescent="0.25">
      <c r="A97" s="1090">
        <v>34</v>
      </c>
      <c r="B97" s="1052" t="s">
        <v>989</v>
      </c>
      <c r="C97" s="1052" t="s">
        <v>1065</v>
      </c>
      <c r="D97" s="1052" t="s">
        <v>1703</v>
      </c>
      <c r="E97" s="1060" t="s">
        <v>1582</v>
      </c>
      <c r="F97" s="1051">
        <v>7985.4949463775938</v>
      </c>
      <c r="G97" s="1356" t="s">
        <v>836</v>
      </c>
      <c r="H97" s="1356" t="s">
        <v>836</v>
      </c>
      <c r="I97" s="1731" t="s">
        <v>1698</v>
      </c>
      <c r="J97" s="1732"/>
      <c r="K97" s="1051"/>
      <c r="L97" s="1059">
        <f t="shared" si="2"/>
        <v>7985.4949463775938</v>
      </c>
      <c r="M97" s="1091"/>
      <c r="N97" s="1057"/>
      <c r="O97" s="1056">
        <f t="shared" si="3"/>
        <v>7985.4949463775938</v>
      </c>
      <c r="P97" s="1091"/>
    </row>
    <row r="98" spans="1:16" ht="42.75" x14ac:dyDescent="0.25">
      <c r="A98" s="1090">
        <v>35</v>
      </c>
      <c r="B98" s="1052" t="s">
        <v>989</v>
      </c>
      <c r="C98" s="1052" t="s">
        <v>1065</v>
      </c>
      <c r="D98" s="1052" t="s">
        <v>1704</v>
      </c>
      <c r="E98" s="1060" t="s">
        <v>1585</v>
      </c>
      <c r="F98" s="1051">
        <v>4629.2724326826628</v>
      </c>
      <c r="G98" s="1356" t="s">
        <v>836</v>
      </c>
      <c r="H98" s="1356" t="s">
        <v>836</v>
      </c>
      <c r="I98" s="1731" t="s">
        <v>1698</v>
      </c>
      <c r="J98" s="1732"/>
      <c r="K98" s="1051"/>
      <c r="L98" s="1059">
        <f t="shared" si="2"/>
        <v>4629.2724326826628</v>
      </c>
      <c r="M98" s="1091"/>
      <c r="N98" s="1057"/>
      <c r="O98" s="1056">
        <f t="shared" si="3"/>
        <v>4629.2724326826628</v>
      </c>
      <c r="P98" s="1091"/>
    </row>
    <row r="99" spans="1:16" ht="71.25" x14ac:dyDescent="0.25">
      <c r="A99" s="1090">
        <v>36</v>
      </c>
      <c r="B99" s="1052" t="s">
        <v>989</v>
      </c>
      <c r="C99" s="1052" t="s">
        <v>1067</v>
      </c>
      <c r="D99" s="1052" t="s">
        <v>1659</v>
      </c>
      <c r="E99" s="1060" t="s">
        <v>1586</v>
      </c>
      <c r="F99" s="1051">
        <v>6175.4494251986725</v>
      </c>
      <c r="G99" s="1356" t="s">
        <v>836</v>
      </c>
      <c r="H99" s="1356" t="s">
        <v>836</v>
      </c>
      <c r="I99" s="1731" t="s">
        <v>1698</v>
      </c>
      <c r="J99" s="1732"/>
      <c r="K99" s="1051"/>
      <c r="L99" s="1059">
        <f t="shared" si="2"/>
        <v>6175.4494251986725</v>
      </c>
      <c r="M99" s="1091"/>
      <c r="N99" s="1057"/>
      <c r="O99" s="1056">
        <f t="shared" si="3"/>
        <v>6175.4494251986725</v>
      </c>
      <c r="P99" s="1091"/>
    </row>
    <row r="100" spans="1:16" ht="42.75" x14ac:dyDescent="0.25">
      <c r="A100" s="1090">
        <v>37</v>
      </c>
      <c r="B100" s="1052" t="s">
        <v>989</v>
      </c>
      <c r="C100" s="1052" t="s">
        <v>1067</v>
      </c>
      <c r="D100" s="1052" t="s">
        <v>1705</v>
      </c>
      <c r="E100" s="1060" t="s">
        <v>1582</v>
      </c>
      <c r="F100" s="1051">
        <v>5786.590540853329</v>
      </c>
      <c r="G100" s="1356" t="s">
        <v>836</v>
      </c>
      <c r="H100" s="1356" t="s">
        <v>836</v>
      </c>
      <c r="I100" s="1731" t="s">
        <v>1698</v>
      </c>
      <c r="J100" s="1732"/>
      <c r="K100" s="1051"/>
      <c r="L100" s="1059">
        <f t="shared" si="2"/>
        <v>5786.590540853329</v>
      </c>
      <c r="M100" s="1091"/>
      <c r="N100" s="1057"/>
      <c r="O100" s="1056">
        <f t="shared" si="3"/>
        <v>5786.590540853329</v>
      </c>
      <c r="P100" s="1091"/>
    </row>
    <row r="101" spans="1:16" ht="99.75" x14ac:dyDescent="0.25">
      <c r="A101" s="1090">
        <v>38</v>
      </c>
      <c r="B101" s="1052" t="s">
        <v>989</v>
      </c>
      <c r="C101" s="1052" t="s">
        <v>1067</v>
      </c>
      <c r="D101" s="1052" t="s">
        <v>1660</v>
      </c>
      <c r="E101" s="1060" t="s">
        <v>1581</v>
      </c>
      <c r="F101" s="1051">
        <v>22143.353136332073</v>
      </c>
      <c r="G101" s="1356" t="s">
        <v>836</v>
      </c>
      <c r="H101" s="1356" t="s">
        <v>836</v>
      </c>
      <c r="I101" s="1731" t="s">
        <v>1698</v>
      </c>
      <c r="J101" s="1732"/>
      <c r="K101" s="1051"/>
      <c r="L101" s="1059">
        <f t="shared" si="2"/>
        <v>22143.353136332073</v>
      </c>
      <c r="M101" s="1091"/>
      <c r="N101" s="1057"/>
      <c r="O101" s="1056">
        <f t="shared" si="3"/>
        <v>22143.353136332073</v>
      </c>
      <c r="P101" s="1091"/>
    </row>
    <row r="102" spans="1:16" ht="15" x14ac:dyDescent="0.25">
      <c r="A102" s="1090">
        <v>39</v>
      </c>
      <c r="B102" s="1052" t="s">
        <v>989</v>
      </c>
      <c r="C102" s="1052" t="s">
        <v>1067</v>
      </c>
      <c r="D102" s="1052" t="s">
        <v>1662</v>
      </c>
      <c r="E102" s="1060" t="s">
        <v>1593</v>
      </c>
      <c r="F102" s="1051">
        <v>74068.736980171292</v>
      </c>
      <c r="G102" s="1356" t="s">
        <v>836</v>
      </c>
      <c r="H102" s="1356" t="s">
        <v>836</v>
      </c>
      <c r="I102" s="1731" t="s">
        <v>1698</v>
      </c>
      <c r="J102" s="1732"/>
      <c r="K102" s="1051"/>
      <c r="L102" s="1059">
        <f t="shared" si="2"/>
        <v>74068.736980171292</v>
      </c>
      <c r="M102" s="1091"/>
      <c r="N102" s="1057"/>
      <c r="O102" s="1056">
        <f t="shared" si="3"/>
        <v>74068.736980171292</v>
      </c>
      <c r="P102" s="1091"/>
    </row>
    <row r="103" spans="1:16" ht="28.5" x14ac:dyDescent="0.25">
      <c r="A103" s="1090">
        <v>40</v>
      </c>
      <c r="B103" s="1052" t="s">
        <v>989</v>
      </c>
      <c r="C103" s="1052" t="s">
        <v>1067</v>
      </c>
      <c r="D103" s="1052" t="s">
        <v>1663</v>
      </c>
      <c r="E103" s="1060" t="s">
        <v>1588</v>
      </c>
      <c r="F103" s="1051">
        <v>32404.907028778642</v>
      </c>
      <c r="G103" s="1356" t="s">
        <v>836</v>
      </c>
      <c r="H103" s="1356" t="s">
        <v>836</v>
      </c>
      <c r="I103" s="1731" t="s">
        <v>1698</v>
      </c>
      <c r="J103" s="1732"/>
      <c r="K103" s="1051"/>
      <c r="L103" s="1059">
        <f t="shared" si="2"/>
        <v>32404.907028778642</v>
      </c>
      <c r="M103" s="1091"/>
      <c r="N103" s="1057"/>
      <c r="O103" s="1056">
        <f t="shared" si="3"/>
        <v>32404.907028778642</v>
      </c>
      <c r="P103" s="1091"/>
    </row>
    <row r="104" spans="1:16" ht="28.5" x14ac:dyDescent="0.25">
      <c r="A104" s="1090">
        <v>41</v>
      </c>
      <c r="B104" s="1052" t="s">
        <v>989</v>
      </c>
      <c r="C104" s="1052" t="s">
        <v>1067</v>
      </c>
      <c r="D104" s="1052" t="s">
        <v>1664</v>
      </c>
      <c r="E104" s="1060" t="s">
        <v>1585</v>
      </c>
      <c r="F104" s="1051">
        <v>8790.9883496643779</v>
      </c>
      <c r="G104" s="1356" t="s">
        <v>836</v>
      </c>
      <c r="H104" s="1356" t="s">
        <v>836</v>
      </c>
      <c r="I104" s="1731" t="s">
        <v>1698</v>
      </c>
      <c r="J104" s="1732"/>
      <c r="K104" s="1051"/>
      <c r="L104" s="1059">
        <f t="shared" si="2"/>
        <v>8790.9883496643779</v>
      </c>
      <c r="M104" s="1091"/>
      <c r="N104" s="1057"/>
      <c r="O104" s="1056">
        <f t="shared" si="3"/>
        <v>8790.9883496643779</v>
      </c>
      <c r="P104" s="1091"/>
    </row>
    <row r="105" spans="1:16" ht="42.75" x14ac:dyDescent="0.25">
      <c r="A105" s="1090">
        <v>42</v>
      </c>
      <c r="B105" s="1052" t="s">
        <v>989</v>
      </c>
      <c r="C105" s="1052" t="s">
        <v>1067</v>
      </c>
      <c r="D105" s="1052" t="s">
        <v>1665</v>
      </c>
      <c r="E105" s="1060" t="s">
        <v>1586</v>
      </c>
      <c r="F105" s="1051">
        <v>35645.397731656507</v>
      </c>
      <c r="G105" s="1356" t="s">
        <v>836</v>
      </c>
      <c r="H105" s="1356" t="s">
        <v>836</v>
      </c>
      <c r="I105" s="1731" t="s">
        <v>1698</v>
      </c>
      <c r="J105" s="1732"/>
      <c r="K105" s="1051"/>
      <c r="L105" s="1059">
        <f t="shared" si="2"/>
        <v>35645.397731656507</v>
      </c>
      <c r="M105" s="1091"/>
      <c r="N105" s="1057"/>
      <c r="O105" s="1056">
        <f t="shared" si="3"/>
        <v>35645.397731656507</v>
      </c>
      <c r="P105" s="1091"/>
    </row>
    <row r="106" spans="1:16" ht="42.75" x14ac:dyDescent="0.25">
      <c r="A106" s="1090">
        <v>43</v>
      </c>
      <c r="B106" s="1052" t="s">
        <v>989</v>
      </c>
      <c r="C106" s="1052" t="s">
        <v>1067</v>
      </c>
      <c r="D106" s="1052" t="s">
        <v>1665</v>
      </c>
      <c r="E106" s="1060" t="s">
        <v>1592</v>
      </c>
      <c r="F106" s="1051">
        <v>1157.3181081706657</v>
      </c>
      <c r="G106" s="1356" t="s">
        <v>836</v>
      </c>
      <c r="H106" s="1356" t="s">
        <v>836</v>
      </c>
      <c r="I106" s="1731" t="s">
        <v>1698</v>
      </c>
      <c r="J106" s="1732"/>
      <c r="K106" s="1051"/>
      <c r="L106" s="1059">
        <f t="shared" si="2"/>
        <v>1157.3181081706657</v>
      </c>
      <c r="M106" s="1091"/>
      <c r="N106" s="1057"/>
      <c r="O106" s="1056">
        <f t="shared" si="3"/>
        <v>1157.3181081706657</v>
      </c>
      <c r="P106" s="1091"/>
    </row>
    <row r="107" spans="1:16" ht="57" x14ac:dyDescent="0.25">
      <c r="A107" s="1090">
        <v>44</v>
      </c>
      <c r="B107" s="1052" t="s">
        <v>989</v>
      </c>
      <c r="C107" s="1052" t="s">
        <v>1067</v>
      </c>
      <c r="D107" s="1052" t="s">
        <v>1706</v>
      </c>
      <c r="E107" s="1060" t="s">
        <v>1585</v>
      </c>
      <c r="F107" s="1051">
        <v>10184.399351901859</v>
      </c>
      <c r="G107" s="1356" t="s">
        <v>836</v>
      </c>
      <c r="H107" s="1356" t="s">
        <v>836</v>
      </c>
      <c r="I107" s="1731" t="s">
        <v>1698</v>
      </c>
      <c r="J107" s="1732"/>
      <c r="K107" s="1051"/>
      <c r="L107" s="1059">
        <f t="shared" si="2"/>
        <v>10184.399351901859</v>
      </c>
      <c r="M107" s="1091"/>
      <c r="N107" s="1057"/>
      <c r="O107" s="1056">
        <f t="shared" si="3"/>
        <v>10184.399351901859</v>
      </c>
      <c r="P107" s="1091"/>
    </row>
    <row r="108" spans="1:16" ht="71.25" x14ac:dyDescent="0.25">
      <c r="A108" s="1090">
        <v>45</v>
      </c>
      <c r="B108" s="1052" t="s">
        <v>989</v>
      </c>
      <c r="C108" s="1052" t="s">
        <v>1067</v>
      </c>
      <c r="D108" s="1052" t="s">
        <v>1707</v>
      </c>
      <c r="E108" s="1060" t="s">
        <v>1582</v>
      </c>
      <c r="F108" s="1051">
        <v>40864.902399506209</v>
      </c>
      <c r="G108" s="1356" t="s">
        <v>836</v>
      </c>
      <c r="H108" s="1356" t="s">
        <v>836</v>
      </c>
      <c r="I108" s="1731" t="s">
        <v>1698</v>
      </c>
      <c r="J108" s="1732"/>
      <c r="K108" s="1051"/>
      <c r="L108" s="1059">
        <f t="shared" si="2"/>
        <v>40864.902399506209</v>
      </c>
      <c r="M108" s="1091"/>
      <c r="N108" s="1057"/>
      <c r="O108" s="1056">
        <f t="shared" si="3"/>
        <v>40864.902399506209</v>
      </c>
      <c r="P108" s="1091"/>
    </row>
    <row r="109" spans="1:16" ht="28.5" x14ac:dyDescent="0.25">
      <c r="A109" s="1090">
        <v>46</v>
      </c>
      <c r="B109" s="1052" t="s">
        <v>1583</v>
      </c>
      <c r="C109" s="1052" t="s">
        <v>847</v>
      </c>
      <c r="D109" s="1052" t="s">
        <v>1666</v>
      </c>
      <c r="E109" s="1060" t="s">
        <v>1587</v>
      </c>
      <c r="F109" s="1051">
        <v>29365.018131317043</v>
      </c>
      <c r="G109" s="1356" t="s">
        <v>836</v>
      </c>
      <c r="H109" s="1356" t="s">
        <v>836</v>
      </c>
      <c r="I109" s="1731" t="s">
        <v>1698</v>
      </c>
      <c r="J109" s="1732"/>
      <c r="K109" s="1051"/>
      <c r="L109" s="1059">
        <f t="shared" si="2"/>
        <v>29365.018131317043</v>
      </c>
      <c r="M109" s="1091"/>
      <c r="N109" s="1057"/>
      <c r="O109" s="1056">
        <f t="shared" si="3"/>
        <v>29365.018131317043</v>
      </c>
      <c r="P109" s="1091"/>
    </row>
    <row r="110" spans="1:16" ht="28.5" x14ac:dyDescent="0.25">
      <c r="A110" s="1090">
        <v>47</v>
      </c>
      <c r="B110" s="1052" t="s">
        <v>1583</v>
      </c>
      <c r="C110" s="1052" t="s">
        <v>847</v>
      </c>
      <c r="D110" s="1052" t="s">
        <v>1708</v>
      </c>
      <c r="E110" s="1060" t="s">
        <v>1600</v>
      </c>
      <c r="F110" s="1051">
        <v>23917.907568860428</v>
      </c>
      <c r="G110" s="1356" t="s">
        <v>836</v>
      </c>
      <c r="H110" s="1356" t="s">
        <v>836</v>
      </c>
      <c r="I110" s="1731" t="s">
        <v>1698</v>
      </c>
      <c r="J110" s="1732"/>
      <c r="K110" s="1051"/>
      <c r="L110" s="1059">
        <f t="shared" si="2"/>
        <v>23917.907568860428</v>
      </c>
      <c r="M110" s="1091"/>
      <c r="N110" s="1057"/>
      <c r="O110" s="1056">
        <f t="shared" si="3"/>
        <v>23917.907568860428</v>
      </c>
      <c r="P110" s="1091"/>
    </row>
    <row r="111" spans="1:16" ht="71.25" x14ac:dyDescent="0.25">
      <c r="A111" s="1090">
        <v>48</v>
      </c>
      <c r="B111" s="1052" t="s">
        <v>1583</v>
      </c>
      <c r="C111" s="1052" t="s">
        <v>847</v>
      </c>
      <c r="D111" s="1052" t="s">
        <v>1709</v>
      </c>
      <c r="E111" s="1060" t="s">
        <v>1585</v>
      </c>
      <c r="F111" s="1051">
        <v>130039.6420029319</v>
      </c>
      <c r="G111" s="1356" t="s">
        <v>836</v>
      </c>
      <c r="H111" s="1356" t="s">
        <v>836</v>
      </c>
      <c r="I111" s="1731" t="s">
        <v>1698</v>
      </c>
      <c r="J111" s="1732"/>
      <c r="K111" s="1051"/>
      <c r="L111" s="1059">
        <f t="shared" si="2"/>
        <v>130039.6420029319</v>
      </c>
      <c r="M111" s="1091"/>
      <c r="N111" s="1057"/>
      <c r="O111" s="1056">
        <f t="shared" si="3"/>
        <v>130039.6420029319</v>
      </c>
      <c r="P111" s="1091"/>
    </row>
    <row r="112" spans="1:16" ht="42.75" x14ac:dyDescent="0.25">
      <c r="A112" s="1090">
        <v>49</v>
      </c>
      <c r="B112" s="1052" t="s">
        <v>1583</v>
      </c>
      <c r="C112" s="1052" t="s">
        <v>847</v>
      </c>
      <c r="D112" s="1052" t="s">
        <v>1669</v>
      </c>
      <c r="E112" s="1060" t="s">
        <v>1586</v>
      </c>
      <c r="F112" s="1051">
        <v>56530.545482601643</v>
      </c>
      <c r="G112" s="1356" t="s">
        <v>836</v>
      </c>
      <c r="H112" s="1356" t="s">
        <v>836</v>
      </c>
      <c r="I112" s="1731" t="s">
        <v>1698</v>
      </c>
      <c r="J112" s="1732"/>
      <c r="K112" s="1051"/>
      <c r="L112" s="1059">
        <f t="shared" si="2"/>
        <v>56530.545482601643</v>
      </c>
      <c r="M112" s="1091"/>
      <c r="N112" s="1057"/>
      <c r="O112" s="1056">
        <f t="shared" si="3"/>
        <v>56530.545482601643</v>
      </c>
      <c r="P112" s="1091"/>
    </row>
    <row r="113" spans="1:16" ht="28.5" x14ac:dyDescent="0.25">
      <c r="A113" s="1090">
        <v>50</v>
      </c>
      <c r="B113" s="1052" t="s">
        <v>1583</v>
      </c>
      <c r="C113" s="1052" t="s">
        <v>847</v>
      </c>
      <c r="D113" s="1052" t="s">
        <v>1710</v>
      </c>
      <c r="E113" s="1060" t="s">
        <v>1597</v>
      </c>
      <c r="F113" s="1051">
        <v>17201.60481444333</v>
      </c>
      <c r="G113" s="1356" t="s">
        <v>836</v>
      </c>
      <c r="H113" s="1356" t="s">
        <v>836</v>
      </c>
      <c r="I113" s="1731" t="s">
        <v>1698</v>
      </c>
      <c r="J113" s="1732"/>
      <c r="K113" s="1051"/>
      <c r="L113" s="1059">
        <f t="shared" si="2"/>
        <v>17201.60481444333</v>
      </c>
      <c r="M113" s="1091"/>
      <c r="N113" s="1057"/>
      <c r="O113" s="1056">
        <f t="shared" si="3"/>
        <v>17201.60481444333</v>
      </c>
      <c r="P113" s="1091"/>
    </row>
    <row r="114" spans="1:16" ht="17.25" customHeight="1" thickBot="1" x14ac:dyDescent="0.25">
      <c r="A114" s="1050"/>
      <c r="B114" s="1055" t="s">
        <v>60</v>
      </c>
      <c r="C114" s="1055"/>
      <c r="D114" s="1055"/>
      <c r="E114" s="1055"/>
      <c r="F114" s="1054">
        <f>SUM(F64:F113)</f>
        <v>885308.92678034096</v>
      </c>
      <c r="G114" s="1055"/>
      <c r="H114" s="1055"/>
      <c r="I114" s="1733"/>
      <c r="J114" s="1734"/>
      <c r="K114" s="1054">
        <f>SUM(K64:K113)</f>
        <v>0</v>
      </c>
      <c r="L114" s="1054">
        <f>SUM(L64:L113)</f>
        <v>885308.92678034096</v>
      </c>
      <c r="M114" s="1050"/>
      <c r="N114" s="1054">
        <f>SUM(N64:N113)</f>
        <v>0</v>
      </c>
      <c r="O114" s="1054">
        <f>SUM(O64:O113)</f>
        <v>885308.92678034096</v>
      </c>
      <c r="P114" s="1050"/>
    </row>
    <row r="116" spans="1:16" ht="14.25" x14ac:dyDescent="0.2">
      <c r="F116" s="935" t="str">
        <f>IF(AND(ROUND(F114,0)=ROUND('PR Cash Reconciliation_2A,B,C,D'!D43,0)),"OK","WARNING -Financial Obligations not matching")</f>
        <v>OK</v>
      </c>
      <c r="L116" s="1092" t="str">
        <f>IF(AND(ROUND(L114,0)=ROUND('PR Cash Reconciliation_2A,B,C,D'!H43,0)),"OK","WARNING -Financial Obligations not matching")</f>
        <v>OK</v>
      </c>
    </row>
  </sheetData>
  <sheetProtection algorithmName="SHA-512" hashValue="mMhyPxvRrDGWRBVFcnVoJLqEyUWTdRo4WPV/+ln2UR/R0Vj26nVcfvgG8Z9BfzzieltauWFiOi2t9HVLENjW2Q==" saltValue="At0DjfgAk0WPEtws9LG8uA==" spinCount="100000" sheet="1" objects="1" scenarios="1" formatCells="0" formatColumns="0" formatRows="0"/>
  <mergeCells count="58">
    <mergeCell ref="I68:J68"/>
    <mergeCell ref="B4:J4"/>
    <mergeCell ref="N4:P4"/>
    <mergeCell ref="K4:M4"/>
    <mergeCell ref="B62:J62"/>
    <mergeCell ref="K62:M62"/>
    <mergeCell ref="N62:P62"/>
    <mergeCell ref="I63:J63"/>
    <mergeCell ref="I64:J64"/>
    <mergeCell ref="I65:J65"/>
    <mergeCell ref="I66:J66"/>
    <mergeCell ref="I67:J67"/>
    <mergeCell ref="I80:J80"/>
    <mergeCell ref="I69:J69"/>
    <mergeCell ref="I70:J70"/>
    <mergeCell ref="I71:J71"/>
    <mergeCell ref="I72:J72"/>
    <mergeCell ref="I73:J73"/>
    <mergeCell ref="I74:J74"/>
    <mergeCell ref="I75:J75"/>
    <mergeCell ref="I76:J76"/>
    <mergeCell ref="I77:J77"/>
    <mergeCell ref="I78:J78"/>
    <mergeCell ref="I79:J79"/>
    <mergeCell ref="I92:J92"/>
    <mergeCell ref="I81:J81"/>
    <mergeCell ref="I82:J82"/>
    <mergeCell ref="I83:J83"/>
    <mergeCell ref="I84:J84"/>
    <mergeCell ref="I85:J85"/>
    <mergeCell ref="I86:J86"/>
    <mergeCell ref="I87:J87"/>
    <mergeCell ref="I88:J88"/>
    <mergeCell ref="I89:J89"/>
    <mergeCell ref="I90:J90"/>
    <mergeCell ref="I91:J91"/>
    <mergeCell ref="I104:J104"/>
    <mergeCell ref="I93:J93"/>
    <mergeCell ref="I94:J94"/>
    <mergeCell ref="I95:J95"/>
    <mergeCell ref="I96:J96"/>
    <mergeCell ref="I97:J97"/>
    <mergeCell ref="I98:J98"/>
    <mergeCell ref="I99:J99"/>
    <mergeCell ref="I100:J100"/>
    <mergeCell ref="I101:J101"/>
    <mergeCell ref="I102:J102"/>
    <mergeCell ref="I103:J103"/>
    <mergeCell ref="I111:J111"/>
    <mergeCell ref="I112:J112"/>
    <mergeCell ref="I113:J113"/>
    <mergeCell ref="I114:J114"/>
    <mergeCell ref="I105:J105"/>
    <mergeCell ref="I106:J106"/>
    <mergeCell ref="I107:J107"/>
    <mergeCell ref="I108:J108"/>
    <mergeCell ref="I109:J109"/>
    <mergeCell ref="I110:J110"/>
  </mergeCells>
  <conditionalFormatting sqref="L116">
    <cfRule type="expression" dxfId="3" priority="4">
      <formula>L116="WARNING -Financial Obligations not matching"</formula>
    </cfRule>
  </conditionalFormatting>
  <conditionalFormatting sqref="F116">
    <cfRule type="expression" dxfId="2" priority="3">
      <formula>F116="WARNING -Financial Obligations not matching"</formula>
    </cfRule>
  </conditionalFormatting>
  <conditionalFormatting sqref="L58">
    <cfRule type="expression" dxfId="1" priority="2">
      <formula>L58="WARNING -Financial Commitments not matching"</formula>
    </cfRule>
  </conditionalFormatting>
  <conditionalFormatting sqref="F58">
    <cfRule type="expression" dxfId="0" priority="1">
      <formula>F58="WARNING -Financial Commitments not matching"</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249977111117893"/>
  </sheetPr>
  <dimension ref="A1:S39"/>
  <sheetViews>
    <sheetView view="pageBreakPreview" zoomScale="70" zoomScaleNormal="100" zoomScaleSheetLayoutView="70" workbookViewId="0">
      <selection activeCell="A10" sqref="A10:E10"/>
    </sheetView>
  </sheetViews>
  <sheetFormatPr defaultRowHeight="12.75" x14ac:dyDescent="0.2"/>
  <cols>
    <col min="5" max="5" width="18.42578125" customWidth="1"/>
    <col min="7" max="7" width="10.85546875" customWidth="1"/>
    <col min="8" max="8" width="23" customWidth="1"/>
    <col min="9" max="9" width="14.85546875" customWidth="1"/>
    <col min="10" max="10" width="27.85546875" customWidth="1"/>
    <col min="15" max="15" width="57.85546875" customWidth="1"/>
  </cols>
  <sheetData>
    <row r="1" spans="1:19" ht="54.75" customHeight="1" thickBot="1" x14ac:dyDescent="0.25">
      <c r="A1" s="1749" t="str">
        <f>IF(CoverSheet!J12="N/A","Progress Report","Progress Report with Disbursement Request")</f>
        <v>Progress Report with Disbursement Request</v>
      </c>
      <c r="B1" s="1749"/>
      <c r="C1" s="1749"/>
      <c r="D1" s="1749"/>
      <c r="E1" s="1749"/>
      <c r="F1" s="1749"/>
      <c r="G1" s="1749"/>
      <c r="H1" s="1749"/>
      <c r="I1" s="1749"/>
      <c r="J1" s="1749"/>
      <c r="K1" s="1749"/>
      <c r="L1" s="1749"/>
      <c r="M1" s="1749"/>
      <c r="N1" s="1749"/>
      <c r="O1" s="1749"/>
    </row>
    <row r="2" spans="1:19" ht="30.75" customHeight="1" x14ac:dyDescent="0.25">
      <c r="A2" s="142" t="s">
        <v>271</v>
      </c>
      <c r="B2" s="143"/>
      <c r="C2" s="143"/>
      <c r="D2" s="143"/>
      <c r="E2" s="143"/>
      <c r="F2" s="143"/>
      <c r="G2" s="143"/>
      <c r="H2" s="143"/>
      <c r="I2" s="143"/>
      <c r="J2" s="143"/>
      <c r="K2" s="143"/>
      <c r="L2" s="143"/>
      <c r="M2" s="143"/>
      <c r="N2" s="143"/>
      <c r="O2" s="143"/>
      <c r="P2" s="143"/>
      <c r="Q2" s="143"/>
      <c r="R2" s="143"/>
    </row>
    <row r="3" spans="1:19" ht="15" customHeight="1" x14ac:dyDescent="0.25">
      <c r="A3" s="91"/>
      <c r="B3" s="339"/>
      <c r="C3" s="339"/>
      <c r="D3" s="339"/>
      <c r="E3" s="339"/>
      <c r="F3" s="339"/>
      <c r="G3" s="339"/>
      <c r="H3" s="339"/>
      <c r="I3" s="339"/>
      <c r="J3" s="339"/>
      <c r="K3" s="339"/>
      <c r="L3" s="339"/>
      <c r="M3" s="339"/>
      <c r="N3" s="339"/>
      <c r="O3" s="339"/>
      <c r="P3" s="143"/>
      <c r="Q3" s="143"/>
      <c r="R3" s="143"/>
    </row>
    <row r="4" spans="1:19" s="340" customFormat="1" ht="1.5" customHeight="1" x14ac:dyDescent="0.2">
      <c r="A4" s="335"/>
      <c r="B4" s="122"/>
      <c r="C4" s="122"/>
      <c r="D4" s="122"/>
      <c r="E4" s="122"/>
      <c r="F4" s="122"/>
      <c r="G4" s="122"/>
      <c r="H4" s="122"/>
      <c r="I4" s="122"/>
      <c r="J4" s="122"/>
      <c r="K4" s="122"/>
      <c r="L4" s="122"/>
      <c r="M4" s="122"/>
      <c r="N4" s="122"/>
      <c r="O4" s="122"/>
    </row>
    <row r="5" spans="1:19" s="1" customFormat="1" ht="14.25" x14ac:dyDescent="0.2">
      <c r="A5" s="1750" t="s">
        <v>147</v>
      </c>
      <c r="B5" s="1750"/>
      <c r="C5" s="1750"/>
      <c r="D5" s="1750"/>
      <c r="E5" s="1750"/>
      <c r="F5" s="1751" t="str">
        <f>CoverSheet!D7</f>
        <v>GEO-T-NCDC</v>
      </c>
      <c r="G5" s="1752"/>
      <c r="H5" s="1752"/>
      <c r="I5" s="1752"/>
      <c r="J5" s="1753"/>
      <c r="K5" s="35"/>
      <c r="L5" s="35"/>
      <c r="M5" s="35"/>
      <c r="N5" s="35"/>
      <c r="O5" s="35"/>
    </row>
    <row r="6" spans="1:19" s="1" customFormat="1" ht="14.25" x14ac:dyDescent="0.2">
      <c r="A6" s="336" t="s">
        <v>243</v>
      </c>
      <c r="B6" s="337"/>
      <c r="C6" s="337"/>
      <c r="D6" s="337"/>
      <c r="E6" s="338"/>
      <c r="F6" s="332" t="s">
        <v>39</v>
      </c>
      <c r="G6" s="332"/>
      <c r="H6" s="947">
        <f>CoverSheet!J6</f>
        <v>42736</v>
      </c>
      <c r="I6" s="331" t="s">
        <v>47</v>
      </c>
      <c r="J6" s="946">
        <f>CoverSheet!L6</f>
        <v>43100</v>
      </c>
      <c r="K6" s="35"/>
      <c r="L6" s="35"/>
      <c r="M6" s="35"/>
      <c r="N6" s="35"/>
      <c r="O6" s="35"/>
    </row>
    <row r="7" spans="1:19" s="1" customFormat="1" ht="14.25" x14ac:dyDescent="0.2">
      <c r="A7" s="336" t="str">
        <f>CoverSheet!F12</f>
        <v>Disbursement Request Execution Period</v>
      </c>
      <c r="B7" s="337"/>
      <c r="C7" s="337"/>
      <c r="D7" s="337"/>
      <c r="E7" s="338"/>
      <c r="F7" s="332" t="s">
        <v>39</v>
      </c>
      <c r="G7" s="332"/>
      <c r="H7" s="947">
        <f>CoverSheet!J12</f>
        <v>43101</v>
      </c>
      <c r="I7" s="331" t="s">
        <v>47</v>
      </c>
      <c r="J7" s="946">
        <f>CoverSheet!L12</f>
        <v>43465</v>
      </c>
      <c r="K7" s="35"/>
      <c r="L7" s="35"/>
      <c r="M7" s="35"/>
      <c r="N7" s="35"/>
      <c r="O7" s="35"/>
    </row>
    <row r="8" spans="1:19" s="1" customFormat="1" ht="14.25" x14ac:dyDescent="0.2">
      <c r="A8" s="336" t="str">
        <f>CoverSheet!F13</f>
        <v>Disbursement Request Buffer Period</v>
      </c>
      <c r="B8" s="337"/>
      <c r="C8" s="337"/>
      <c r="D8" s="337"/>
      <c r="E8" s="338"/>
      <c r="F8" s="332" t="s">
        <v>39</v>
      </c>
      <c r="G8" s="332"/>
      <c r="H8" s="948">
        <f>CoverSheet!J13</f>
        <v>43466</v>
      </c>
      <c r="I8" s="331" t="s">
        <v>47</v>
      </c>
      <c r="J8" s="947">
        <f>CoverSheet!L13</f>
        <v>43646</v>
      </c>
      <c r="K8" s="35"/>
      <c r="L8" s="35"/>
      <c r="M8" s="35"/>
      <c r="N8" s="35"/>
      <c r="O8" s="35"/>
    </row>
    <row r="9" spans="1:19" s="1" customFormat="1" ht="15.75" customHeight="1" x14ac:dyDescent="0.2">
      <c r="A9" s="1757" t="s">
        <v>38</v>
      </c>
      <c r="B9" s="1758"/>
      <c r="C9" s="1758"/>
      <c r="D9" s="1758"/>
      <c r="E9" s="1759"/>
      <c r="F9" s="1754" t="str">
        <f>CoverSheet!D11</f>
        <v>USD</v>
      </c>
      <c r="G9" s="1755"/>
      <c r="H9" s="1755"/>
      <c r="I9" s="1755"/>
      <c r="J9" s="1756"/>
      <c r="K9" s="38"/>
      <c r="L9" s="38"/>
      <c r="M9" s="38"/>
      <c r="N9" s="38"/>
      <c r="O9" s="38"/>
    </row>
    <row r="10" spans="1:19" s="1" customFormat="1" ht="15.75" customHeight="1" x14ac:dyDescent="0.2">
      <c r="A10" s="1766" t="s">
        <v>238</v>
      </c>
      <c r="B10" s="1758"/>
      <c r="C10" s="1758"/>
      <c r="D10" s="1758"/>
      <c r="E10" s="1759"/>
      <c r="F10" s="1763">
        <f>IF(CoverSheet!J12="N/A","",'Request and Recommendation_8B'!K19)</f>
        <v>1628188.6272560123</v>
      </c>
      <c r="G10" s="1764"/>
      <c r="H10" s="1764"/>
      <c r="I10" s="1764"/>
      <c r="J10" s="1765"/>
      <c r="K10" s="342"/>
      <c r="L10" s="38"/>
      <c r="M10" s="38"/>
      <c r="N10" s="38"/>
      <c r="O10" s="38"/>
    </row>
    <row r="11" spans="1:19" s="1" customFormat="1" ht="15.75" customHeight="1" x14ac:dyDescent="0.2">
      <c r="A11" s="341"/>
      <c r="B11" s="38"/>
      <c r="C11" s="341"/>
      <c r="D11" s="38"/>
      <c r="E11" s="38"/>
      <c r="F11" s="38"/>
      <c r="G11" s="341"/>
      <c r="H11" s="38"/>
      <c r="I11" s="38"/>
      <c r="J11" s="343"/>
      <c r="K11" s="101"/>
      <c r="L11" s="101"/>
      <c r="M11" s="14"/>
      <c r="N11" s="8"/>
      <c r="O11" s="14"/>
    </row>
    <row r="12" spans="1:19" ht="41.25" customHeight="1" x14ac:dyDescent="0.2">
      <c r="A12" s="1747" t="s">
        <v>110</v>
      </c>
      <c r="B12" s="1747"/>
      <c r="C12" s="1747"/>
      <c r="D12" s="1747"/>
      <c r="E12" s="1747"/>
      <c r="F12" s="1747"/>
      <c r="G12" s="1747"/>
      <c r="H12" s="1747"/>
      <c r="I12" s="1747"/>
      <c r="J12" s="1747"/>
      <c r="K12" s="1747"/>
      <c r="L12" s="1747"/>
      <c r="M12" s="1747"/>
      <c r="N12" s="1747"/>
      <c r="O12" s="1747"/>
      <c r="P12" s="2"/>
      <c r="Q12" s="2"/>
      <c r="R12" s="2"/>
      <c r="S12" s="20"/>
    </row>
    <row r="13" spans="1:19" x14ac:dyDescent="0.2">
      <c r="A13" s="2"/>
      <c r="B13" s="2"/>
      <c r="C13" s="2"/>
      <c r="D13" s="2"/>
      <c r="E13" s="2"/>
      <c r="F13" s="2"/>
      <c r="G13" s="2"/>
      <c r="H13" s="2"/>
      <c r="I13" s="2"/>
      <c r="J13" s="2"/>
      <c r="K13" s="2"/>
      <c r="L13" s="2"/>
      <c r="M13" s="2"/>
      <c r="N13" s="2"/>
      <c r="O13" s="2"/>
      <c r="P13" s="2"/>
      <c r="Q13" s="2"/>
      <c r="R13" s="2"/>
      <c r="S13" s="20"/>
    </row>
    <row r="14" spans="1:19" ht="49.5" customHeight="1" x14ac:dyDescent="0.2">
      <c r="A14" s="1748" t="s">
        <v>45</v>
      </c>
      <c r="B14" s="1748"/>
      <c r="C14" s="1748"/>
      <c r="D14" s="1748"/>
      <c r="E14" s="1748"/>
      <c r="F14" s="1760"/>
      <c r="G14" s="1760"/>
      <c r="H14" s="1760"/>
      <c r="I14" s="1760"/>
      <c r="J14" s="1760"/>
      <c r="K14" s="20"/>
      <c r="L14" s="20"/>
      <c r="M14" s="20"/>
      <c r="N14" s="20"/>
      <c r="O14" s="20"/>
      <c r="P14" s="20"/>
      <c r="Q14" s="20"/>
      <c r="R14" s="20"/>
      <c r="S14" s="20"/>
    </row>
    <row r="15" spans="1:19" ht="49.5" customHeight="1" x14ac:dyDescent="0.2">
      <c r="A15" s="20" t="s">
        <v>48</v>
      </c>
      <c r="B15" s="20"/>
      <c r="C15" s="20"/>
      <c r="D15" s="20"/>
      <c r="E15" s="20"/>
      <c r="F15" s="1761" t="s">
        <v>1603</v>
      </c>
      <c r="G15" s="1761"/>
      <c r="H15" s="1761"/>
      <c r="I15" s="1761"/>
      <c r="J15" s="1761"/>
      <c r="K15" s="20"/>
      <c r="L15" s="20"/>
      <c r="M15" s="20"/>
      <c r="N15" s="20"/>
      <c r="O15" s="20"/>
      <c r="P15" s="20"/>
      <c r="Q15" s="20"/>
      <c r="R15" s="20"/>
      <c r="S15" s="20"/>
    </row>
    <row r="16" spans="1:19" ht="49.5" customHeight="1" x14ac:dyDescent="0.2">
      <c r="A16" s="20" t="s">
        <v>49</v>
      </c>
      <c r="B16" s="20"/>
      <c r="C16" s="20"/>
      <c r="D16" s="20"/>
      <c r="E16" s="20"/>
      <c r="F16" s="1761" t="s">
        <v>1604</v>
      </c>
      <c r="G16" s="1761"/>
      <c r="H16" s="1761"/>
      <c r="I16" s="1761"/>
      <c r="J16" s="1761"/>
      <c r="K16" s="20"/>
      <c r="L16" s="20"/>
      <c r="M16" s="20"/>
      <c r="N16" s="20"/>
      <c r="O16" s="20"/>
      <c r="P16" s="20"/>
      <c r="Q16" s="20"/>
      <c r="R16" s="20"/>
      <c r="S16" s="20"/>
    </row>
    <row r="17" spans="1:19" ht="49.5" customHeight="1" x14ac:dyDescent="0.2">
      <c r="A17" s="20" t="s">
        <v>50</v>
      </c>
      <c r="B17" s="20"/>
      <c r="C17" s="20"/>
      <c r="D17" s="20"/>
      <c r="E17" s="20"/>
      <c r="F17" s="1762">
        <v>43168</v>
      </c>
      <c r="G17" s="1761"/>
      <c r="H17" s="1761"/>
      <c r="I17" s="1761"/>
      <c r="J17" s="1761"/>
      <c r="K17" s="20"/>
      <c r="L17" s="20"/>
      <c r="M17" s="20"/>
      <c r="N17" s="20"/>
      <c r="O17" s="20"/>
      <c r="P17" s="20"/>
      <c r="Q17" s="20"/>
      <c r="R17" s="20"/>
      <c r="S17" s="20"/>
    </row>
    <row r="18" spans="1:19" x14ac:dyDescent="0.2">
      <c r="A18" s="20"/>
      <c r="B18" s="20"/>
      <c r="C18" s="20"/>
      <c r="D18" s="20"/>
      <c r="E18" s="20"/>
      <c r="F18" s="20"/>
      <c r="G18" s="20"/>
      <c r="H18" s="20"/>
      <c r="I18" s="20"/>
      <c r="J18" s="20"/>
      <c r="K18" s="20"/>
      <c r="L18" s="20"/>
      <c r="M18" s="20"/>
      <c r="N18" s="20"/>
      <c r="O18" s="20"/>
      <c r="P18" s="20"/>
      <c r="Q18" s="20"/>
      <c r="R18" s="20"/>
      <c r="S18" s="20"/>
    </row>
    <row r="19" spans="1:19" x14ac:dyDescent="0.2">
      <c r="A19" s="20"/>
      <c r="B19" s="20"/>
      <c r="C19" s="20"/>
      <c r="D19" s="20"/>
      <c r="E19" s="20"/>
      <c r="F19" s="20"/>
      <c r="G19" s="20"/>
      <c r="H19" s="20"/>
      <c r="I19" s="20"/>
      <c r="J19" s="20"/>
      <c r="K19" s="20"/>
      <c r="L19" s="20"/>
      <c r="M19" s="20"/>
      <c r="N19" s="20"/>
      <c r="O19" s="20"/>
      <c r="P19" s="20"/>
      <c r="Q19" s="20"/>
      <c r="R19" s="20"/>
      <c r="S19" s="20"/>
    </row>
    <row r="20" spans="1:19" ht="12.75" customHeight="1" x14ac:dyDescent="0.2">
      <c r="A20" s="1748"/>
      <c r="B20" s="1748"/>
      <c r="C20" s="1748"/>
      <c r="D20" s="1748"/>
      <c r="E20" s="1748"/>
      <c r="F20" s="1748"/>
      <c r="G20" s="1748"/>
      <c r="H20" s="1748"/>
      <c r="I20" s="1748"/>
      <c r="J20" s="1748"/>
      <c r="K20" s="1748"/>
      <c r="L20" s="1748"/>
      <c r="M20" s="1748"/>
      <c r="N20" s="1748"/>
      <c r="O20" s="1748"/>
      <c r="P20" s="89"/>
      <c r="Q20" s="89"/>
      <c r="R20" s="89"/>
      <c r="S20" s="89"/>
    </row>
    <row r="21" spans="1:19" x14ac:dyDescent="0.2">
      <c r="A21" s="20"/>
      <c r="B21" s="20"/>
      <c r="C21" s="20"/>
      <c r="D21" s="20"/>
      <c r="E21" s="20"/>
      <c r="F21" s="20"/>
      <c r="G21" s="20"/>
      <c r="H21" s="20"/>
      <c r="I21" s="20"/>
      <c r="J21" s="20"/>
      <c r="K21" s="20"/>
      <c r="L21" s="20"/>
      <c r="M21" s="20"/>
      <c r="N21" s="20"/>
      <c r="O21" s="20"/>
      <c r="P21" s="20"/>
      <c r="Q21" s="20"/>
      <c r="R21" s="20"/>
      <c r="S21" s="20"/>
    </row>
    <row r="22" spans="1:19" x14ac:dyDescent="0.2">
      <c r="A22" s="20"/>
      <c r="B22" s="20"/>
      <c r="C22" s="20"/>
      <c r="D22" s="20"/>
      <c r="E22" s="20"/>
      <c r="F22" s="20"/>
      <c r="G22" s="20"/>
      <c r="H22" s="20"/>
      <c r="I22" s="20"/>
      <c r="J22" s="20"/>
      <c r="K22" s="20"/>
      <c r="L22" s="20"/>
      <c r="M22" s="20"/>
      <c r="N22" s="20"/>
      <c r="O22" s="20"/>
      <c r="P22" s="20"/>
      <c r="Q22" s="20"/>
      <c r="R22" s="20"/>
      <c r="S22" s="20"/>
    </row>
    <row r="23" spans="1:19" x14ac:dyDescent="0.2">
      <c r="A23" s="20"/>
      <c r="B23" s="20"/>
      <c r="C23" s="20"/>
      <c r="D23" s="20"/>
      <c r="E23" s="20"/>
      <c r="F23" s="20"/>
      <c r="G23" s="20"/>
      <c r="H23" s="20"/>
      <c r="I23" s="20"/>
      <c r="J23" s="20"/>
      <c r="K23" s="20"/>
      <c r="L23" s="20"/>
      <c r="M23" s="20"/>
      <c r="N23" s="20"/>
      <c r="O23" s="20"/>
      <c r="P23" s="20"/>
      <c r="Q23" s="20"/>
      <c r="R23" s="20"/>
      <c r="S23" s="20"/>
    </row>
    <row r="24" spans="1:19" x14ac:dyDescent="0.2">
      <c r="A24" s="20"/>
      <c r="B24" s="20"/>
      <c r="C24" s="20"/>
      <c r="D24" s="20"/>
      <c r="E24" s="20"/>
      <c r="F24" s="20"/>
      <c r="G24" s="20"/>
      <c r="H24" s="20"/>
      <c r="I24" s="20"/>
      <c r="J24" s="20"/>
      <c r="K24" s="20"/>
      <c r="L24" s="20"/>
      <c r="M24" s="20"/>
      <c r="N24" s="20"/>
      <c r="O24" s="20"/>
      <c r="P24" s="20"/>
      <c r="Q24" s="20"/>
      <c r="R24" s="20"/>
      <c r="S24" s="20"/>
    </row>
    <row r="25" spans="1:19" x14ac:dyDescent="0.2">
      <c r="A25" s="20"/>
      <c r="B25" s="20"/>
      <c r="C25" s="20"/>
      <c r="D25" s="20"/>
      <c r="E25" s="20"/>
      <c r="F25" s="20"/>
      <c r="G25" s="20"/>
      <c r="H25" s="20"/>
      <c r="I25" s="20"/>
      <c r="J25" s="20"/>
      <c r="K25" s="20"/>
      <c r="L25" s="20"/>
      <c r="M25" s="20"/>
      <c r="N25" s="20"/>
      <c r="O25" s="20"/>
      <c r="P25" s="20"/>
      <c r="Q25" s="20"/>
      <c r="R25" s="20"/>
      <c r="S25" s="20"/>
    </row>
    <row r="26" spans="1:19" x14ac:dyDescent="0.2">
      <c r="A26" s="20"/>
      <c r="B26" s="20"/>
      <c r="C26" s="20"/>
      <c r="D26" s="20"/>
      <c r="E26" s="20"/>
      <c r="F26" s="20"/>
      <c r="G26" s="20"/>
      <c r="H26" s="20"/>
      <c r="I26" s="20"/>
      <c r="J26" s="20"/>
      <c r="K26" s="20"/>
      <c r="L26" s="20"/>
      <c r="M26" s="20"/>
      <c r="N26" s="20"/>
      <c r="O26" s="20"/>
      <c r="P26" s="20"/>
      <c r="Q26" s="20"/>
      <c r="R26" s="20"/>
      <c r="S26" s="20"/>
    </row>
    <row r="27" spans="1:19" x14ac:dyDescent="0.2">
      <c r="A27" s="20"/>
      <c r="B27" s="20"/>
      <c r="C27" s="20"/>
      <c r="D27" s="20"/>
      <c r="E27" s="20"/>
      <c r="F27" s="20"/>
      <c r="G27" s="20"/>
      <c r="H27" s="20"/>
      <c r="I27" s="20"/>
      <c r="J27" s="20"/>
      <c r="K27" s="20"/>
      <c r="L27" s="20"/>
      <c r="M27" s="20"/>
      <c r="N27" s="20"/>
      <c r="O27" s="20"/>
      <c r="P27" s="20"/>
      <c r="Q27" s="20"/>
      <c r="R27" s="20"/>
      <c r="S27" s="20"/>
    </row>
    <row r="28" spans="1:19" x14ac:dyDescent="0.2">
      <c r="A28" s="20"/>
      <c r="B28" s="20"/>
      <c r="C28" s="20"/>
      <c r="D28" s="20"/>
      <c r="E28" s="20"/>
      <c r="F28" s="20"/>
      <c r="G28" s="20"/>
      <c r="H28" s="20"/>
      <c r="I28" s="20"/>
      <c r="J28" s="20"/>
      <c r="K28" s="20"/>
      <c r="L28" s="20"/>
      <c r="M28" s="20"/>
      <c r="N28" s="20"/>
      <c r="O28" s="20"/>
      <c r="P28" s="20"/>
      <c r="Q28" s="20"/>
      <c r="R28" s="20"/>
      <c r="S28" s="20"/>
    </row>
    <row r="29" spans="1:19" x14ac:dyDescent="0.2">
      <c r="A29" s="20"/>
      <c r="B29" s="20"/>
      <c r="C29" s="20"/>
      <c r="D29" s="20"/>
      <c r="E29" s="20"/>
      <c r="F29" s="20"/>
      <c r="G29" s="20"/>
      <c r="H29" s="20"/>
      <c r="I29" s="20"/>
      <c r="J29" s="20"/>
      <c r="K29" s="20"/>
      <c r="L29" s="20"/>
      <c r="M29" s="20"/>
      <c r="N29" s="20"/>
      <c r="O29" s="20"/>
      <c r="P29" s="20"/>
      <c r="Q29" s="20"/>
      <c r="R29" s="20"/>
      <c r="S29" s="20"/>
    </row>
    <row r="30" spans="1:19" x14ac:dyDescent="0.2">
      <c r="A30" s="20"/>
      <c r="B30" s="20"/>
      <c r="C30" s="20"/>
      <c r="D30" s="20"/>
      <c r="E30" s="20"/>
      <c r="F30" s="20"/>
      <c r="G30" s="20"/>
      <c r="H30" s="20"/>
      <c r="I30" s="20"/>
      <c r="J30" s="20"/>
      <c r="K30" s="20"/>
      <c r="L30" s="20"/>
      <c r="M30" s="20"/>
      <c r="N30" s="20"/>
      <c r="O30" s="20"/>
      <c r="P30" s="20"/>
      <c r="Q30" s="20"/>
      <c r="R30" s="20"/>
      <c r="S30" s="20"/>
    </row>
    <row r="31" spans="1:19" x14ac:dyDescent="0.2">
      <c r="A31" s="20"/>
      <c r="B31" s="20"/>
      <c r="C31" s="20"/>
      <c r="D31" s="20"/>
      <c r="E31" s="20"/>
      <c r="F31" s="20"/>
      <c r="G31" s="20"/>
      <c r="H31" s="20"/>
      <c r="I31" s="20"/>
      <c r="J31" s="20"/>
      <c r="K31" s="20"/>
      <c r="L31" s="20"/>
      <c r="M31" s="20"/>
      <c r="N31" s="20"/>
      <c r="O31" s="20"/>
      <c r="P31" s="20"/>
      <c r="Q31" s="20"/>
      <c r="R31" s="20"/>
      <c r="S31" s="20"/>
    </row>
    <row r="32" spans="1:19" x14ac:dyDescent="0.2">
      <c r="A32" s="20"/>
      <c r="B32" s="20"/>
      <c r="C32" s="20"/>
      <c r="D32" s="20"/>
      <c r="E32" s="20"/>
      <c r="F32" s="20"/>
      <c r="G32" s="20"/>
      <c r="H32" s="20"/>
      <c r="I32" s="20"/>
      <c r="J32" s="20"/>
      <c r="K32" s="20"/>
      <c r="L32" s="20"/>
      <c r="M32" s="20"/>
      <c r="N32" s="20"/>
      <c r="O32" s="20"/>
      <c r="P32" s="20"/>
      <c r="Q32" s="20"/>
      <c r="R32" s="20"/>
      <c r="S32" s="20"/>
    </row>
    <row r="33" spans="1:19" x14ac:dyDescent="0.2">
      <c r="A33" s="20"/>
      <c r="B33" s="20"/>
      <c r="C33" s="20"/>
      <c r="D33" s="20"/>
      <c r="E33" s="20"/>
      <c r="F33" s="20"/>
      <c r="G33" s="20"/>
      <c r="H33" s="20"/>
      <c r="I33" s="20"/>
      <c r="J33" s="20"/>
      <c r="K33" s="20"/>
      <c r="L33" s="20"/>
      <c r="M33" s="20"/>
      <c r="N33" s="20"/>
      <c r="O33" s="20"/>
      <c r="P33" s="20"/>
      <c r="Q33" s="20"/>
      <c r="R33" s="20"/>
      <c r="S33" s="20"/>
    </row>
    <row r="34" spans="1:19" x14ac:dyDescent="0.2">
      <c r="A34" s="20"/>
      <c r="B34" s="20"/>
      <c r="C34" s="20"/>
      <c r="D34" s="20"/>
      <c r="E34" s="20"/>
      <c r="F34" s="20"/>
      <c r="G34" s="20"/>
      <c r="H34" s="20"/>
      <c r="I34" s="20"/>
      <c r="J34" s="20"/>
      <c r="K34" s="20"/>
      <c r="L34" s="20"/>
      <c r="M34" s="20"/>
      <c r="N34" s="20"/>
      <c r="O34" s="20"/>
      <c r="P34" s="20"/>
      <c r="Q34" s="20"/>
      <c r="R34" s="20"/>
      <c r="S34" s="20"/>
    </row>
    <row r="35" spans="1:19" x14ac:dyDescent="0.2">
      <c r="A35" s="20"/>
      <c r="B35" s="20"/>
      <c r="C35" s="20"/>
      <c r="D35" s="20"/>
      <c r="E35" s="20"/>
      <c r="F35" s="20"/>
      <c r="G35" s="20"/>
      <c r="H35" s="20"/>
      <c r="I35" s="20"/>
      <c r="J35" s="20"/>
      <c r="K35" s="20"/>
      <c r="L35" s="20"/>
      <c r="M35" s="20"/>
      <c r="N35" s="20"/>
      <c r="O35" s="20"/>
      <c r="P35" s="20"/>
      <c r="Q35" s="20"/>
      <c r="R35" s="20"/>
      <c r="S35" s="20"/>
    </row>
    <row r="36" spans="1:19" x14ac:dyDescent="0.2">
      <c r="A36" s="20"/>
      <c r="B36" s="20"/>
      <c r="C36" s="20"/>
      <c r="D36" s="20"/>
      <c r="E36" s="20"/>
      <c r="F36" s="20"/>
      <c r="G36" s="20"/>
      <c r="H36" s="20"/>
      <c r="I36" s="20"/>
      <c r="J36" s="20"/>
      <c r="K36" s="20"/>
      <c r="L36" s="20"/>
      <c r="M36" s="20"/>
      <c r="N36" s="20"/>
      <c r="O36" s="20"/>
      <c r="P36" s="20"/>
      <c r="Q36" s="20"/>
      <c r="R36" s="20"/>
      <c r="S36" s="20"/>
    </row>
    <row r="37" spans="1:19" x14ac:dyDescent="0.2">
      <c r="A37" s="20"/>
      <c r="B37" s="20"/>
      <c r="C37" s="20"/>
      <c r="D37" s="20"/>
      <c r="E37" s="20"/>
      <c r="F37" s="20"/>
      <c r="G37" s="20"/>
      <c r="H37" s="20"/>
      <c r="I37" s="20"/>
      <c r="J37" s="20"/>
      <c r="K37" s="20"/>
      <c r="L37" s="20"/>
      <c r="M37" s="20"/>
      <c r="N37" s="20"/>
      <c r="O37" s="20"/>
      <c r="P37" s="20"/>
      <c r="Q37" s="20"/>
      <c r="R37" s="20"/>
      <c r="S37" s="20"/>
    </row>
    <row r="38" spans="1:19" x14ac:dyDescent="0.2">
      <c r="A38" s="20"/>
      <c r="B38" s="20"/>
      <c r="C38" s="20"/>
      <c r="D38" s="20"/>
      <c r="E38" s="20"/>
      <c r="F38" s="20"/>
      <c r="G38" s="20"/>
      <c r="H38" s="20"/>
      <c r="I38" s="20"/>
      <c r="J38" s="20"/>
      <c r="K38" s="20"/>
      <c r="L38" s="20"/>
      <c r="M38" s="20"/>
      <c r="N38" s="20"/>
      <c r="O38" s="20"/>
      <c r="P38" s="20"/>
      <c r="Q38" s="20"/>
      <c r="R38" s="20"/>
      <c r="S38" s="20"/>
    </row>
    <row r="39" spans="1:19" x14ac:dyDescent="0.2">
      <c r="A39" s="20"/>
      <c r="B39" s="20"/>
      <c r="C39" s="20"/>
      <c r="D39" s="20"/>
      <c r="E39" s="20"/>
      <c r="F39" s="20"/>
      <c r="G39" s="20"/>
      <c r="H39" s="20"/>
      <c r="I39" s="20"/>
      <c r="J39" s="20"/>
      <c r="K39" s="20"/>
      <c r="L39" s="20"/>
      <c r="M39" s="20"/>
      <c r="N39" s="20"/>
      <c r="O39" s="20"/>
      <c r="P39" s="20"/>
      <c r="Q39" s="20"/>
      <c r="R39" s="20"/>
      <c r="S39" s="20"/>
    </row>
  </sheetData>
  <sheetProtection algorithmName="SHA-512" hashValue="tN7G28Kn7uckzx/3lewBYtgNf+rl2xh3r4epKQbUV5XILxBREDz9bDkFMLyH9gCh3q3EJuW10bJaPX285pAA+w==" saltValue="7ypI8jMdMo1tjmjfxQkqYA==" spinCount="100000" scenarios="1" formatCells="0" formatColumns="0" formatRows="0" selectLockedCells="1"/>
  <mergeCells count="14">
    <mergeCell ref="A12:O12"/>
    <mergeCell ref="A20:O20"/>
    <mergeCell ref="A14:E14"/>
    <mergeCell ref="A1:O1"/>
    <mergeCell ref="A5:E5"/>
    <mergeCell ref="F5:J5"/>
    <mergeCell ref="F9:J9"/>
    <mergeCell ref="A9:E9"/>
    <mergeCell ref="F14:J14"/>
    <mergeCell ref="F15:J15"/>
    <mergeCell ref="F16:J16"/>
    <mergeCell ref="F17:J17"/>
    <mergeCell ref="F10:J10"/>
    <mergeCell ref="A10:E10"/>
  </mergeCells>
  <printOptions horizontalCentered="1" verticalCentered="1"/>
  <pageMargins left="0.23622047244094491" right="0.23622047244094491" top="0.74803149606299213" bottom="0.74803149606299213" header="0.31496062992125984" footer="0.31496062992125984"/>
  <pageSetup paperSize="9" scale="61" orientation="landscape" r:id="rId1"/>
  <headerFooter>
    <oddFooter>&amp;L&amp;A&amp;R&amp;P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0" tint="-0.249977111117893"/>
  </sheetPr>
  <dimension ref="A1:S43"/>
  <sheetViews>
    <sheetView view="pageBreakPreview" zoomScale="70" zoomScaleNormal="100" zoomScaleSheetLayoutView="70" workbookViewId="0">
      <selection activeCell="A14" sqref="A14:O14"/>
    </sheetView>
  </sheetViews>
  <sheetFormatPr defaultRowHeight="12.75" x14ac:dyDescent="0.2"/>
  <cols>
    <col min="1" max="1" width="30.42578125" customWidth="1"/>
    <col min="5" max="5" width="18.42578125" customWidth="1"/>
    <col min="7" max="7" width="10.85546875" customWidth="1"/>
    <col min="8" max="8" width="23.140625" customWidth="1"/>
    <col min="9" max="9" width="14.85546875" customWidth="1"/>
    <col min="10" max="10" width="26.85546875" customWidth="1"/>
    <col min="15" max="15" width="57.85546875" customWidth="1"/>
  </cols>
  <sheetData>
    <row r="1" spans="1:19" ht="39" customHeight="1" x14ac:dyDescent="0.35">
      <c r="A1" s="1687" t="str">
        <f>IF(CoverSheet!J12="N/A","Progress Report","Progress Report with Disbursement Request")</f>
        <v>Progress Report with Disbursement Request</v>
      </c>
      <c r="B1" s="1687"/>
      <c r="C1" s="1687"/>
      <c r="D1" s="1687"/>
      <c r="E1" s="1687"/>
      <c r="F1" s="1687"/>
      <c r="G1" s="1687"/>
      <c r="H1" s="1687"/>
      <c r="I1" s="1687"/>
      <c r="J1" s="1687"/>
      <c r="K1" s="1687"/>
      <c r="L1" s="1687"/>
      <c r="M1" s="1687"/>
      <c r="N1" s="1687"/>
      <c r="O1" s="1687"/>
    </row>
    <row r="2" spans="1:19" ht="3.75" hidden="1" customHeight="1" x14ac:dyDescent="0.2">
      <c r="A2" s="101"/>
      <c r="B2" s="101"/>
      <c r="C2" s="101"/>
      <c r="D2" s="101"/>
      <c r="E2" s="101"/>
      <c r="F2" s="101"/>
      <c r="G2" s="101"/>
      <c r="H2" s="101"/>
      <c r="I2" s="101"/>
      <c r="J2" s="101"/>
      <c r="K2" s="101"/>
      <c r="L2" s="2"/>
      <c r="M2" s="2"/>
      <c r="N2" s="2"/>
      <c r="O2" s="2"/>
    </row>
    <row r="3" spans="1:19" ht="30" customHeight="1" x14ac:dyDescent="0.2">
      <c r="A3" s="132" t="s">
        <v>102</v>
      </c>
      <c r="B3" s="121"/>
      <c r="C3" s="121"/>
      <c r="D3" s="121"/>
      <c r="E3" s="121"/>
      <c r="F3" s="38"/>
      <c r="G3" s="38"/>
      <c r="H3" s="38"/>
      <c r="I3" s="38"/>
      <c r="J3" s="38"/>
      <c r="K3" s="86"/>
      <c r="L3" s="86"/>
      <c r="M3" s="86"/>
      <c r="N3" s="86"/>
      <c r="O3" s="86"/>
    </row>
    <row r="4" spans="1:19" ht="30" customHeight="1" x14ac:dyDescent="0.25">
      <c r="A4" s="142" t="s">
        <v>194</v>
      </c>
      <c r="B4" s="143"/>
      <c r="C4" s="143"/>
      <c r="D4" s="143"/>
      <c r="E4" s="143"/>
      <c r="F4" s="143"/>
      <c r="G4" s="143"/>
      <c r="H4" s="143"/>
      <c r="I4" s="143"/>
      <c r="J4" s="143"/>
      <c r="K4" s="143"/>
      <c r="L4" s="143"/>
      <c r="M4" s="143"/>
      <c r="N4" s="143"/>
      <c r="O4" s="143"/>
    </row>
    <row r="5" spans="1:19" ht="12.75" customHeight="1" x14ac:dyDescent="0.2">
      <c r="A5" s="11"/>
      <c r="B5" s="101"/>
      <c r="C5" s="101"/>
      <c r="D5" s="101"/>
      <c r="E5" s="101"/>
      <c r="F5" s="101"/>
      <c r="G5" s="101"/>
      <c r="H5" s="101"/>
      <c r="I5" s="101"/>
      <c r="J5" s="101"/>
      <c r="K5" s="101"/>
      <c r="L5" s="35"/>
      <c r="M5" s="35"/>
      <c r="N5" s="35"/>
      <c r="O5" s="35"/>
    </row>
    <row r="6" spans="1:19" ht="14.25" x14ac:dyDescent="0.2">
      <c r="A6" s="1750" t="s">
        <v>147</v>
      </c>
      <c r="B6" s="1750"/>
      <c r="C6" s="1750"/>
      <c r="D6" s="1750"/>
      <c r="E6" s="1750"/>
      <c r="F6" s="1751" t="str">
        <f>CoverSheet!D7</f>
        <v>GEO-T-NCDC</v>
      </c>
      <c r="G6" s="1752"/>
      <c r="H6" s="1752"/>
      <c r="I6" s="1752"/>
      <c r="J6" s="1753"/>
      <c r="K6" s="101"/>
      <c r="L6" s="35"/>
      <c r="M6" s="35"/>
      <c r="N6" s="35"/>
      <c r="O6" s="35"/>
    </row>
    <row r="7" spans="1:19" ht="14.25" x14ac:dyDescent="0.2">
      <c r="A7" s="336" t="s">
        <v>243</v>
      </c>
      <c r="B7" s="337"/>
      <c r="C7" s="337"/>
      <c r="D7" s="337"/>
      <c r="E7" s="338"/>
      <c r="F7" s="332" t="s">
        <v>39</v>
      </c>
      <c r="G7" s="338"/>
      <c r="H7" s="946">
        <f>CoverSheet!J6</f>
        <v>42736</v>
      </c>
      <c r="I7" s="331" t="s">
        <v>47</v>
      </c>
      <c r="J7" s="946">
        <f>CoverSheet!L6</f>
        <v>43100</v>
      </c>
      <c r="K7" s="101"/>
      <c r="L7" s="35"/>
      <c r="M7" s="35"/>
      <c r="N7" s="35"/>
      <c r="O7" s="35"/>
    </row>
    <row r="8" spans="1:19" ht="14.25" x14ac:dyDescent="0.2">
      <c r="A8" s="336" t="s">
        <v>52</v>
      </c>
      <c r="B8" s="337"/>
      <c r="C8" s="337"/>
      <c r="D8" s="337"/>
      <c r="E8" s="338"/>
      <c r="F8" s="332" t="s">
        <v>39</v>
      </c>
      <c r="G8" s="332"/>
      <c r="H8" s="947">
        <f>CoverSheet!J12</f>
        <v>43101</v>
      </c>
      <c r="I8" s="331" t="s">
        <v>47</v>
      </c>
      <c r="J8" s="946">
        <f>CoverSheet!L12</f>
        <v>43465</v>
      </c>
      <c r="K8" s="101"/>
      <c r="L8" s="35"/>
      <c r="M8" s="35"/>
      <c r="N8" s="35"/>
      <c r="O8" s="35"/>
    </row>
    <row r="9" spans="1:19" ht="14.25" x14ac:dyDescent="0.2">
      <c r="A9" s="336" t="str">
        <f>CoverSheet!F13</f>
        <v>Disbursement Request Buffer Period</v>
      </c>
      <c r="B9" s="337"/>
      <c r="C9" s="337"/>
      <c r="D9" s="337"/>
      <c r="E9" s="338"/>
      <c r="F9" s="332" t="s">
        <v>39</v>
      </c>
      <c r="G9" s="332"/>
      <c r="H9" s="948">
        <f>CoverSheet!J13</f>
        <v>43466</v>
      </c>
      <c r="I9" s="331" t="s">
        <v>47</v>
      </c>
      <c r="J9" s="947">
        <f>CoverSheet!L13</f>
        <v>43646</v>
      </c>
      <c r="K9" s="101"/>
      <c r="L9" s="35"/>
      <c r="M9" s="35"/>
      <c r="N9" s="35"/>
      <c r="O9" s="35"/>
    </row>
    <row r="10" spans="1:19" ht="14.25" x14ac:dyDescent="0.2">
      <c r="A10" s="1757" t="s">
        <v>38</v>
      </c>
      <c r="B10" s="1758"/>
      <c r="C10" s="1758"/>
      <c r="D10" s="1758"/>
      <c r="E10" s="1759"/>
      <c r="F10" s="1754" t="str">
        <f>CoverSheet!D11</f>
        <v>USD</v>
      </c>
      <c r="G10" s="1755"/>
      <c r="H10" s="1755"/>
      <c r="I10" s="1755"/>
      <c r="J10" s="1756"/>
      <c r="K10" s="87"/>
      <c r="L10" s="86"/>
      <c r="M10" s="86"/>
      <c r="N10" s="86"/>
      <c r="O10" s="86"/>
    </row>
    <row r="11" spans="1:19" ht="14.25" x14ac:dyDescent="0.2">
      <c r="A11" s="1757" t="s">
        <v>239</v>
      </c>
      <c r="B11" s="1758"/>
      <c r="C11" s="1758"/>
      <c r="D11" s="1758"/>
      <c r="E11" s="1759"/>
      <c r="F11" s="1763">
        <f>IF(CoverSheet!J12="N/A","",'Request and Recommendation_8B'!K45)</f>
        <v>0</v>
      </c>
      <c r="G11" s="1764"/>
      <c r="H11" s="1764"/>
      <c r="I11" s="1764"/>
      <c r="J11" s="1765"/>
      <c r="K11" s="87"/>
      <c r="L11" s="86"/>
      <c r="M11" s="86"/>
      <c r="N11" s="86"/>
      <c r="O11" s="86"/>
    </row>
    <row r="12" spans="1:19" ht="41.25" customHeight="1" x14ac:dyDescent="0.2">
      <c r="A12" s="121" t="s">
        <v>188</v>
      </c>
      <c r="B12" s="121"/>
      <c r="C12" s="121"/>
      <c r="D12" s="121"/>
      <c r="E12" s="121"/>
      <c r="F12" s="38"/>
      <c r="G12" s="38"/>
      <c r="H12" s="38"/>
      <c r="I12" s="38"/>
      <c r="J12" s="38"/>
      <c r="K12" s="86"/>
      <c r="L12" s="86"/>
      <c r="M12" s="86"/>
      <c r="N12" s="86"/>
      <c r="O12" s="86"/>
    </row>
    <row r="13" spans="1:19" ht="39" customHeight="1" x14ac:dyDescent="0.2">
      <c r="A13" s="1768" t="s">
        <v>189</v>
      </c>
      <c r="B13" s="1768"/>
      <c r="C13" s="1768"/>
      <c r="D13" s="1768"/>
      <c r="E13" s="1768"/>
      <c r="F13" s="1768"/>
      <c r="G13" s="1768"/>
      <c r="H13" s="1768"/>
      <c r="I13" s="1768"/>
      <c r="J13" s="1768"/>
      <c r="K13" s="1768"/>
      <c r="L13" s="1768"/>
      <c r="M13" s="1768"/>
      <c r="N13" s="1768"/>
      <c r="O13" s="1768"/>
      <c r="P13" s="2"/>
      <c r="Q13" s="2"/>
      <c r="R13" s="2"/>
    </row>
    <row r="14" spans="1:19" ht="121.5" customHeight="1" x14ac:dyDescent="0.2">
      <c r="A14" s="1770"/>
      <c r="B14" s="1771"/>
      <c r="C14" s="1771"/>
      <c r="D14" s="1771"/>
      <c r="E14" s="1771"/>
      <c r="F14" s="1771"/>
      <c r="G14" s="1771"/>
      <c r="H14" s="1771"/>
      <c r="I14" s="1771"/>
      <c r="J14" s="1771"/>
      <c r="K14" s="1771"/>
      <c r="L14" s="1771"/>
      <c r="M14" s="1771"/>
      <c r="N14" s="1771"/>
      <c r="O14" s="1772"/>
      <c r="P14" s="131"/>
      <c r="Q14" s="20"/>
      <c r="R14" s="101"/>
    </row>
    <row r="15" spans="1:19" ht="12" customHeight="1" x14ac:dyDescent="0.2">
      <c r="A15" s="1769"/>
      <c r="B15" s="1769"/>
      <c r="C15" s="1769"/>
      <c r="D15" s="1769"/>
      <c r="E15" s="1769"/>
      <c r="F15" s="1769"/>
      <c r="G15" s="1769"/>
      <c r="H15" s="1769"/>
      <c r="I15" s="1769"/>
      <c r="J15" s="1769"/>
      <c r="K15" s="1769"/>
      <c r="L15" s="1769"/>
      <c r="M15" s="1769"/>
      <c r="N15" s="1769"/>
      <c r="O15" s="1769"/>
      <c r="P15" s="101"/>
      <c r="Q15" s="101"/>
      <c r="R15" s="101"/>
    </row>
    <row r="16" spans="1:19" ht="36.75" customHeight="1" x14ac:dyDescent="0.2">
      <c r="A16" s="1767" t="s">
        <v>111</v>
      </c>
      <c r="B16" s="1767"/>
      <c r="C16" s="1767"/>
      <c r="D16" s="1767"/>
      <c r="E16" s="1767"/>
      <c r="F16" s="1767"/>
      <c r="G16" s="1767"/>
      <c r="H16" s="1767"/>
      <c r="I16" s="1767"/>
      <c r="J16" s="1767"/>
      <c r="K16" s="1767"/>
      <c r="L16" s="1767"/>
      <c r="M16" s="1767"/>
      <c r="N16" s="1767"/>
      <c r="O16" s="1767"/>
      <c r="P16" s="2"/>
      <c r="Q16" s="2"/>
      <c r="R16" s="2"/>
      <c r="S16" s="20"/>
    </row>
    <row r="17" spans="1:19" x14ac:dyDescent="0.2">
      <c r="A17" s="2"/>
      <c r="B17" s="2"/>
      <c r="C17" s="2"/>
      <c r="D17" s="2"/>
      <c r="E17" s="2"/>
      <c r="F17" s="2"/>
      <c r="G17" s="2"/>
      <c r="H17" s="2"/>
      <c r="I17" s="2"/>
      <c r="J17" s="2"/>
      <c r="K17" s="2"/>
      <c r="L17" s="2"/>
      <c r="M17" s="2"/>
      <c r="N17" s="2"/>
      <c r="O17" s="2"/>
      <c r="P17" s="2"/>
      <c r="Q17" s="2"/>
      <c r="R17" s="2"/>
      <c r="S17" s="20"/>
    </row>
    <row r="18" spans="1:19" ht="43.5" customHeight="1" x14ac:dyDescent="0.2">
      <c r="A18" s="20" t="s">
        <v>112</v>
      </c>
      <c r="B18" s="20"/>
      <c r="C18" s="20"/>
      <c r="D18" s="1773"/>
      <c r="E18" s="1773"/>
      <c r="F18" s="1773"/>
      <c r="G18" s="20"/>
      <c r="H18" s="20"/>
      <c r="I18" s="20"/>
      <c r="J18" s="20"/>
      <c r="K18" s="20"/>
      <c r="L18" s="20"/>
      <c r="M18" s="20"/>
      <c r="N18" s="20"/>
      <c r="O18" s="20"/>
      <c r="P18" s="20"/>
      <c r="Q18" s="20"/>
      <c r="R18" s="20"/>
      <c r="S18" s="20"/>
    </row>
    <row r="19" spans="1:19" ht="43.5" customHeight="1" x14ac:dyDescent="0.2">
      <c r="A19" s="20" t="s">
        <v>48</v>
      </c>
      <c r="B19" s="20"/>
      <c r="C19" s="20"/>
      <c r="D19" s="1774"/>
      <c r="E19" s="1774"/>
      <c r="F19" s="1774"/>
      <c r="G19" s="20"/>
      <c r="H19" s="20"/>
      <c r="I19" s="20"/>
      <c r="J19" s="20"/>
      <c r="K19" s="20"/>
      <c r="L19" s="20"/>
      <c r="M19" s="20"/>
      <c r="N19" s="20"/>
      <c r="O19" s="20"/>
      <c r="P19" s="20"/>
      <c r="Q19" s="20"/>
      <c r="R19" s="20"/>
      <c r="S19" s="20"/>
    </row>
    <row r="20" spans="1:19" ht="43.5" customHeight="1" x14ac:dyDescent="0.2">
      <c r="A20" s="20" t="s">
        <v>49</v>
      </c>
      <c r="B20" s="20"/>
      <c r="C20" s="20"/>
      <c r="D20" s="1774"/>
      <c r="E20" s="1774"/>
      <c r="F20" s="1774"/>
      <c r="G20" s="20"/>
      <c r="H20" s="20"/>
      <c r="I20" s="20"/>
      <c r="J20" s="20"/>
      <c r="K20" s="20"/>
      <c r="L20" s="20"/>
      <c r="M20" s="20"/>
      <c r="N20" s="20"/>
      <c r="O20" s="20"/>
      <c r="P20" s="20"/>
      <c r="Q20" s="20"/>
      <c r="R20" s="20"/>
      <c r="S20" s="20"/>
    </row>
    <row r="21" spans="1:19" ht="43.5" customHeight="1" x14ac:dyDescent="0.2">
      <c r="A21" s="20" t="s">
        <v>50</v>
      </c>
      <c r="B21" s="20"/>
      <c r="C21" s="20"/>
      <c r="D21" s="1774"/>
      <c r="E21" s="1774"/>
      <c r="F21" s="1774"/>
      <c r="G21" s="20"/>
      <c r="H21" s="20"/>
      <c r="I21" s="20"/>
      <c r="J21" s="20"/>
      <c r="K21" s="20"/>
      <c r="L21" s="20"/>
      <c r="M21" s="20"/>
      <c r="N21" s="20"/>
      <c r="O21" s="20"/>
      <c r="P21" s="20"/>
      <c r="Q21" s="20"/>
      <c r="R21" s="20"/>
      <c r="S21" s="20"/>
    </row>
    <row r="22" spans="1:19" x14ac:dyDescent="0.2">
      <c r="A22" s="20"/>
      <c r="B22" s="20"/>
      <c r="C22" s="20"/>
      <c r="D22" s="20"/>
      <c r="E22" s="20"/>
      <c r="F22" s="20"/>
      <c r="G22" s="20"/>
      <c r="H22" s="20"/>
      <c r="I22" s="20"/>
      <c r="J22" s="20"/>
      <c r="K22" s="20"/>
      <c r="L22" s="20"/>
      <c r="M22" s="20"/>
      <c r="N22" s="20"/>
      <c r="O22" s="20"/>
      <c r="P22" s="20"/>
      <c r="Q22" s="20"/>
      <c r="R22" s="20"/>
      <c r="S22" s="20"/>
    </row>
    <row r="23" spans="1:19" x14ac:dyDescent="0.2">
      <c r="A23" s="20"/>
      <c r="B23" s="20"/>
      <c r="C23" s="20"/>
      <c r="D23" s="20"/>
      <c r="E23" s="20"/>
      <c r="F23" s="20"/>
      <c r="G23" s="20"/>
      <c r="H23" s="20"/>
      <c r="I23" s="20"/>
      <c r="J23" s="20"/>
      <c r="K23" s="20"/>
      <c r="L23" s="20"/>
      <c r="M23" s="20"/>
      <c r="N23" s="20"/>
      <c r="O23" s="20"/>
      <c r="P23" s="20"/>
      <c r="Q23" s="20"/>
      <c r="R23" s="20"/>
      <c r="S23" s="20"/>
    </row>
    <row r="24" spans="1:19" ht="12.75" customHeight="1" x14ac:dyDescent="0.2">
      <c r="A24" s="1748"/>
      <c r="B24" s="1748"/>
      <c r="C24" s="1748"/>
      <c r="D24" s="1748"/>
      <c r="E24" s="1748"/>
      <c r="F24" s="1748"/>
      <c r="G24" s="1748"/>
      <c r="H24" s="1748"/>
      <c r="I24" s="1748"/>
      <c r="J24" s="1748"/>
      <c r="K24" s="1748"/>
      <c r="L24" s="1748"/>
      <c r="M24" s="1748"/>
      <c r="N24" s="1748"/>
      <c r="O24" s="1748"/>
      <c r="P24" s="89"/>
      <c r="Q24" s="89"/>
      <c r="R24" s="89"/>
      <c r="S24" s="89"/>
    </row>
    <row r="25" spans="1:19" x14ac:dyDescent="0.2">
      <c r="A25" s="20"/>
      <c r="B25" s="20"/>
      <c r="C25" s="20"/>
      <c r="D25" s="20"/>
      <c r="E25" s="20"/>
      <c r="F25" s="20"/>
      <c r="G25" s="20"/>
      <c r="H25" s="20"/>
      <c r="I25" s="20"/>
      <c r="J25" s="20"/>
      <c r="K25" s="20"/>
      <c r="L25" s="20"/>
      <c r="M25" s="20"/>
      <c r="N25" s="20"/>
      <c r="O25" s="20"/>
      <c r="P25" s="20"/>
      <c r="Q25" s="20"/>
      <c r="R25" s="20"/>
      <c r="S25" s="20"/>
    </row>
    <row r="26" spans="1:19" x14ac:dyDescent="0.2">
      <c r="A26" s="20"/>
      <c r="B26" s="20"/>
      <c r="C26" s="20"/>
      <c r="D26" s="20"/>
      <c r="E26" s="20"/>
      <c r="F26" s="20"/>
      <c r="G26" s="20"/>
      <c r="H26" s="20"/>
      <c r="I26" s="20"/>
      <c r="J26" s="20"/>
      <c r="K26" s="20"/>
      <c r="L26" s="20"/>
      <c r="M26" s="20"/>
      <c r="N26" s="20"/>
      <c r="O26" s="20"/>
      <c r="P26" s="20"/>
      <c r="Q26" s="20"/>
      <c r="R26" s="20"/>
      <c r="S26" s="20"/>
    </row>
    <row r="27" spans="1:19" x14ac:dyDescent="0.2">
      <c r="A27" s="20"/>
      <c r="B27" s="20"/>
      <c r="C27" s="20"/>
      <c r="D27" s="20"/>
      <c r="E27" s="20"/>
      <c r="F27" s="20"/>
      <c r="G27" s="20"/>
      <c r="H27" s="20"/>
      <c r="I27" s="20"/>
      <c r="J27" s="20"/>
      <c r="K27" s="20"/>
      <c r="L27" s="20"/>
      <c r="M27" s="20"/>
      <c r="N27" s="20"/>
      <c r="O27" s="20"/>
      <c r="P27" s="20"/>
      <c r="Q27" s="20"/>
      <c r="R27" s="20"/>
      <c r="S27" s="20"/>
    </row>
    <row r="28" spans="1:19" x14ac:dyDescent="0.2">
      <c r="A28" s="20"/>
      <c r="B28" s="20"/>
      <c r="C28" s="20"/>
      <c r="D28" s="20"/>
      <c r="E28" s="20"/>
      <c r="F28" s="20"/>
      <c r="G28" s="20"/>
      <c r="H28" s="20"/>
      <c r="I28" s="20"/>
      <c r="J28" s="20"/>
      <c r="K28" s="20"/>
      <c r="L28" s="20"/>
      <c r="M28" s="20"/>
      <c r="N28" s="20"/>
      <c r="O28" s="20"/>
      <c r="P28" s="20"/>
      <c r="Q28" s="20"/>
      <c r="R28" s="20"/>
      <c r="S28" s="20"/>
    </row>
    <row r="29" spans="1:19" x14ac:dyDescent="0.2">
      <c r="A29" s="20"/>
      <c r="B29" s="20"/>
      <c r="C29" s="20"/>
      <c r="D29" s="20"/>
      <c r="E29" s="20"/>
      <c r="F29" s="20"/>
      <c r="G29" s="20"/>
      <c r="H29" s="20"/>
      <c r="I29" s="20"/>
      <c r="J29" s="20"/>
      <c r="K29" s="20"/>
      <c r="L29" s="20"/>
      <c r="M29" s="20"/>
      <c r="N29" s="20"/>
      <c r="O29" s="20"/>
      <c r="P29" s="20"/>
      <c r="Q29" s="20"/>
      <c r="R29" s="20"/>
      <c r="S29" s="20"/>
    </row>
    <row r="30" spans="1:19" x14ac:dyDescent="0.2">
      <c r="A30" s="20"/>
      <c r="B30" s="20"/>
      <c r="C30" s="20"/>
      <c r="D30" s="20"/>
      <c r="E30" s="20"/>
      <c r="F30" s="20"/>
      <c r="G30" s="20"/>
      <c r="H30" s="20"/>
      <c r="I30" s="20"/>
      <c r="J30" s="20"/>
      <c r="K30" s="20"/>
      <c r="L30" s="20"/>
      <c r="M30" s="20"/>
      <c r="N30" s="20"/>
      <c r="O30" s="20"/>
      <c r="P30" s="20"/>
      <c r="Q30" s="20"/>
      <c r="R30" s="20"/>
      <c r="S30" s="20"/>
    </row>
    <row r="31" spans="1:19" x14ac:dyDescent="0.2">
      <c r="A31" s="20"/>
      <c r="B31" s="20"/>
      <c r="C31" s="20"/>
      <c r="D31" s="20"/>
      <c r="E31" s="20"/>
      <c r="F31" s="20"/>
      <c r="G31" s="20"/>
      <c r="H31" s="20"/>
      <c r="I31" s="20"/>
      <c r="J31" s="20"/>
      <c r="K31" s="20"/>
      <c r="L31" s="20"/>
      <c r="M31" s="20"/>
      <c r="N31" s="20"/>
      <c r="O31" s="20"/>
      <c r="P31" s="20"/>
      <c r="Q31" s="20"/>
      <c r="R31" s="20"/>
      <c r="S31" s="20"/>
    </row>
    <row r="32" spans="1:19" x14ac:dyDescent="0.2">
      <c r="A32" s="20"/>
      <c r="B32" s="20"/>
      <c r="C32" s="20"/>
      <c r="D32" s="20"/>
      <c r="E32" s="20"/>
      <c r="F32" s="20"/>
      <c r="G32" s="20"/>
      <c r="H32" s="20"/>
      <c r="I32" s="20"/>
      <c r="J32" s="20"/>
      <c r="K32" s="20"/>
      <c r="L32" s="20"/>
      <c r="M32" s="20"/>
      <c r="N32" s="20"/>
      <c r="O32" s="20"/>
      <c r="P32" s="20"/>
      <c r="Q32" s="20"/>
      <c r="R32" s="20"/>
      <c r="S32" s="20"/>
    </row>
    <row r="33" spans="1:19" x14ac:dyDescent="0.2">
      <c r="A33" s="20"/>
      <c r="B33" s="20"/>
      <c r="C33" s="20"/>
      <c r="D33" s="20"/>
      <c r="E33" s="20"/>
      <c r="F33" s="20"/>
      <c r="G33" s="20"/>
      <c r="H33" s="20"/>
      <c r="I33" s="20"/>
      <c r="J33" s="20"/>
      <c r="K33" s="20"/>
      <c r="L33" s="20"/>
      <c r="M33" s="20"/>
      <c r="N33" s="20"/>
      <c r="O33" s="20"/>
      <c r="P33" s="20"/>
      <c r="Q33" s="20"/>
      <c r="R33" s="20"/>
      <c r="S33" s="20"/>
    </row>
    <row r="34" spans="1:19" x14ac:dyDescent="0.2">
      <c r="A34" s="20"/>
      <c r="B34" s="20"/>
      <c r="C34" s="20"/>
      <c r="D34" s="20"/>
      <c r="E34" s="20"/>
      <c r="F34" s="20"/>
      <c r="G34" s="20"/>
      <c r="H34" s="20"/>
      <c r="I34" s="20"/>
      <c r="J34" s="20"/>
      <c r="K34" s="20"/>
      <c r="L34" s="20"/>
      <c r="M34" s="20"/>
      <c r="N34" s="20"/>
      <c r="O34" s="20"/>
      <c r="P34" s="20"/>
      <c r="Q34" s="20"/>
      <c r="R34" s="20"/>
      <c r="S34" s="20"/>
    </row>
    <row r="35" spans="1:19" x14ac:dyDescent="0.2">
      <c r="A35" s="20"/>
      <c r="B35" s="20"/>
      <c r="C35" s="20"/>
      <c r="D35" s="20"/>
      <c r="E35" s="20"/>
      <c r="F35" s="20"/>
      <c r="G35" s="20"/>
      <c r="H35" s="20"/>
      <c r="I35" s="20"/>
      <c r="J35" s="20"/>
      <c r="K35" s="20"/>
      <c r="L35" s="20"/>
      <c r="M35" s="20"/>
      <c r="N35" s="20"/>
      <c r="O35" s="20"/>
      <c r="P35" s="20"/>
      <c r="Q35" s="20"/>
      <c r="R35" s="20"/>
      <c r="S35" s="20"/>
    </row>
    <row r="36" spans="1:19" x14ac:dyDescent="0.2">
      <c r="A36" s="20"/>
      <c r="B36" s="20"/>
      <c r="C36" s="20"/>
      <c r="D36" s="20"/>
      <c r="E36" s="20"/>
      <c r="F36" s="20"/>
      <c r="G36" s="20"/>
      <c r="H36" s="20"/>
      <c r="I36" s="20"/>
      <c r="J36" s="20"/>
      <c r="K36" s="20"/>
      <c r="L36" s="20"/>
      <c r="M36" s="20"/>
      <c r="N36" s="20"/>
      <c r="O36" s="20"/>
      <c r="P36" s="20"/>
      <c r="Q36" s="20"/>
      <c r="R36" s="20"/>
      <c r="S36" s="20"/>
    </row>
    <row r="37" spans="1:19" x14ac:dyDescent="0.2">
      <c r="A37" s="20"/>
      <c r="B37" s="20"/>
      <c r="C37" s="20"/>
      <c r="D37" s="20"/>
      <c r="E37" s="20"/>
      <c r="F37" s="20"/>
      <c r="G37" s="20"/>
      <c r="H37" s="20"/>
      <c r="I37" s="20"/>
      <c r="J37" s="20"/>
      <c r="K37" s="20"/>
      <c r="L37" s="20"/>
      <c r="M37" s="20"/>
      <c r="N37" s="20"/>
      <c r="O37" s="20"/>
      <c r="P37" s="20"/>
      <c r="Q37" s="20"/>
      <c r="R37" s="20"/>
      <c r="S37" s="20"/>
    </row>
    <row r="38" spans="1:19" x14ac:dyDescent="0.2">
      <c r="A38" s="20"/>
      <c r="B38" s="20"/>
      <c r="C38" s="20"/>
      <c r="D38" s="20"/>
      <c r="E38" s="20"/>
      <c r="F38" s="20"/>
      <c r="G38" s="20"/>
      <c r="H38" s="20"/>
      <c r="I38" s="20"/>
      <c r="J38" s="20"/>
      <c r="K38" s="20"/>
      <c r="L38" s="20"/>
      <c r="M38" s="20"/>
      <c r="N38" s="20"/>
      <c r="O38" s="20"/>
      <c r="P38" s="20"/>
      <c r="Q38" s="20"/>
      <c r="R38" s="20"/>
      <c r="S38" s="20"/>
    </row>
    <row r="39" spans="1:19" x14ac:dyDescent="0.2">
      <c r="A39" s="20"/>
      <c r="B39" s="20"/>
      <c r="C39" s="20"/>
      <c r="D39" s="20"/>
      <c r="E39" s="20"/>
      <c r="F39" s="20"/>
      <c r="G39" s="20"/>
      <c r="H39" s="20"/>
      <c r="I39" s="20"/>
      <c r="J39" s="20"/>
      <c r="K39" s="20"/>
      <c r="L39" s="20"/>
      <c r="M39" s="20"/>
      <c r="N39" s="20"/>
      <c r="O39" s="20"/>
      <c r="P39" s="20"/>
      <c r="Q39" s="20"/>
      <c r="R39" s="20"/>
      <c r="S39" s="20"/>
    </row>
    <row r="40" spans="1:19" x14ac:dyDescent="0.2">
      <c r="A40" s="20"/>
      <c r="B40" s="20"/>
      <c r="C40" s="20"/>
      <c r="D40" s="20"/>
      <c r="E40" s="20"/>
      <c r="F40" s="20"/>
      <c r="G40" s="20"/>
      <c r="H40" s="20"/>
      <c r="I40" s="20"/>
      <c r="J40" s="20"/>
      <c r="K40" s="20"/>
      <c r="L40" s="20"/>
      <c r="M40" s="20"/>
      <c r="N40" s="20"/>
      <c r="O40" s="20"/>
      <c r="P40" s="20"/>
      <c r="Q40" s="20"/>
      <c r="R40" s="20"/>
      <c r="S40" s="20"/>
    </row>
    <row r="41" spans="1:19" x14ac:dyDescent="0.2">
      <c r="A41" s="20"/>
      <c r="B41" s="20"/>
      <c r="C41" s="20"/>
      <c r="D41" s="20"/>
      <c r="E41" s="20"/>
      <c r="F41" s="20"/>
      <c r="G41" s="20"/>
      <c r="H41" s="20"/>
      <c r="I41" s="20"/>
      <c r="J41" s="20"/>
      <c r="K41" s="20"/>
      <c r="L41" s="20"/>
      <c r="M41" s="20"/>
      <c r="N41" s="20"/>
      <c r="O41" s="20"/>
      <c r="P41" s="20"/>
      <c r="Q41" s="20"/>
      <c r="R41" s="20"/>
      <c r="S41" s="20"/>
    </row>
    <row r="42" spans="1:19" x14ac:dyDescent="0.2">
      <c r="A42" s="20"/>
      <c r="B42" s="20"/>
      <c r="C42" s="20"/>
      <c r="D42" s="20"/>
      <c r="E42" s="20"/>
      <c r="F42" s="20"/>
      <c r="G42" s="20"/>
      <c r="H42" s="20"/>
      <c r="I42" s="20"/>
      <c r="J42" s="20"/>
      <c r="K42" s="20"/>
      <c r="L42" s="20"/>
      <c r="M42" s="20"/>
      <c r="N42" s="20"/>
      <c r="O42" s="20"/>
      <c r="P42" s="20"/>
      <c r="Q42" s="20"/>
      <c r="R42" s="20"/>
      <c r="S42" s="20"/>
    </row>
    <row r="43" spans="1:19" x14ac:dyDescent="0.2">
      <c r="A43" s="20"/>
      <c r="B43" s="20"/>
      <c r="C43" s="20"/>
      <c r="D43" s="20"/>
      <c r="E43" s="20"/>
      <c r="F43" s="20"/>
      <c r="G43" s="20"/>
      <c r="H43" s="20"/>
      <c r="I43" s="20"/>
      <c r="J43" s="20"/>
      <c r="K43" s="20"/>
      <c r="L43" s="20"/>
      <c r="M43" s="20"/>
      <c r="N43" s="20"/>
      <c r="O43" s="20"/>
      <c r="P43" s="20"/>
      <c r="Q43" s="20"/>
      <c r="R43" s="20"/>
      <c r="S43" s="20"/>
    </row>
  </sheetData>
  <sheetProtection algorithmName="SHA-512" hashValue="L4Uymf0l/ywjONacEZqLv4Nh7vIb7KKXX9kaPR+T/Zo39VQBvhKCfX0Zq8SO9nv5FDXezjyaD9iq/IKEnjoxEw==" saltValue="Rv3ELIN00iALHz0E/BLWRw==" spinCount="100000" scenarios="1" formatCells="0" formatColumns="0" formatRows="0" selectLockedCells="1"/>
  <mergeCells count="16">
    <mergeCell ref="F6:J6"/>
    <mergeCell ref="A16:O16"/>
    <mergeCell ref="A24:O24"/>
    <mergeCell ref="A1:O1"/>
    <mergeCell ref="A10:E10"/>
    <mergeCell ref="F10:J10"/>
    <mergeCell ref="A13:O13"/>
    <mergeCell ref="A15:O15"/>
    <mergeCell ref="A14:O14"/>
    <mergeCell ref="D18:F18"/>
    <mergeCell ref="D19:F19"/>
    <mergeCell ref="D20:F20"/>
    <mergeCell ref="D21:F21"/>
    <mergeCell ref="A6:E6"/>
    <mergeCell ref="A11:E11"/>
    <mergeCell ref="F11:J11"/>
  </mergeCells>
  <printOptions horizontalCentered="1" verticalCentered="1"/>
  <pageMargins left="0.23622047244094491" right="0.23622047244094491" top="0.74803149606299213" bottom="0.74803149606299213" header="0.31496062992125984" footer="0.31496062992125984"/>
  <pageSetup paperSize="9" scale="57" orientation="landscape" r:id="rId1"/>
  <headerFooter>
    <oddFooter>&amp;L&amp;A&amp;R&amp;P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5"/>
  <sheetViews>
    <sheetView view="pageBreakPreview" zoomScaleNormal="80" zoomScaleSheetLayoutView="100" workbookViewId="0">
      <selection activeCell="D7" sqref="D7"/>
    </sheetView>
  </sheetViews>
  <sheetFormatPr defaultColWidth="8.85546875" defaultRowHeight="15" x14ac:dyDescent="0.25"/>
  <cols>
    <col min="1" max="1" width="9.5703125" style="753" customWidth="1"/>
    <col min="2" max="2" width="76.140625" style="753" customWidth="1"/>
    <col min="3" max="3" width="18.5703125" style="753" customWidth="1"/>
    <col min="4" max="4" width="57.42578125" style="753" customWidth="1"/>
    <col min="5" max="5" width="17.140625" style="753" customWidth="1"/>
    <col min="6" max="6" width="63.5703125" style="753" customWidth="1"/>
    <col min="7" max="16384" width="8.85546875" style="753"/>
  </cols>
  <sheetData>
    <row r="1" spans="1:15" ht="25.5" customHeight="1" x14ac:dyDescent="0.35">
      <c r="A1" s="1687" t="s">
        <v>242</v>
      </c>
      <c r="B1" s="1687"/>
      <c r="C1" s="1687"/>
      <c r="D1" s="1687"/>
      <c r="E1" s="1687"/>
      <c r="F1" s="1687"/>
      <c r="G1" s="752"/>
      <c r="H1" s="752"/>
      <c r="I1" s="752"/>
      <c r="J1" s="752"/>
      <c r="K1" s="752"/>
      <c r="L1" s="752"/>
      <c r="M1" s="752"/>
      <c r="N1" s="752"/>
      <c r="O1" s="752"/>
    </row>
    <row r="3" spans="1:15" ht="39.75" customHeight="1" x14ac:dyDescent="0.25">
      <c r="A3" s="1775" t="s">
        <v>442</v>
      </c>
      <c r="B3" s="1775"/>
      <c r="C3" s="1775"/>
      <c r="D3" s="1775"/>
      <c r="E3" s="1775"/>
      <c r="F3" s="1775"/>
    </row>
    <row r="4" spans="1:15" ht="39.75" customHeight="1" x14ac:dyDescent="0.25">
      <c r="A4" s="754"/>
      <c r="B4" s="755"/>
      <c r="C4" s="1776" t="s">
        <v>70</v>
      </c>
      <c r="D4" s="1776"/>
      <c r="E4" s="1777" t="s">
        <v>102</v>
      </c>
      <c r="F4" s="1778"/>
    </row>
    <row r="5" spans="1:15" ht="42" customHeight="1" x14ac:dyDescent="0.25">
      <c r="A5" s="756" t="s">
        <v>113</v>
      </c>
      <c r="B5" s="757" t="s">
        <v>264</v>
      </c>
      <c r="C5" s="758" t="s">
        <v>263</v>
      </c>
      <c r="D5" s="758" t="s">
        <v>27</v>
      </c>
      <c r="E5" s="759" t="s">
        <v>71</v>
      </c>
      <c r="F5" s="760" t="s">
        <v>27</v>
      </c>
    </row>
    <row r="6" spans="1:15" ht="31.5" customHeight="1" x14ac:dyDescent="0.25">
      <c r="A6" s="761">
        <v>1</v>
      </c>
      <c r="B6" s="762" t="s">
        <v>262</v>
      </c>
      <c r="C6" s="949"/>
      <c r="D6" s="950"/>
      <c r="E6" s="951"/>
      <c r="F6" s="952"/>
    </row>
    <row r="7" spans="1:15" ht="27" customHeight="1" x14ac:dyDescent="0.25">
      <c r="A7" s="761">
        <v>2</v>
      </c>
      <c r="B7" s="762" t="s">
        <v>261</v>
      </c>
      <c r="C7" s="951"/>
      <c r="D7" s="952"/>
      <c r="E7" s="951"/>
      <c r="F7" s="952"/>
    </row>
    <row r="8" spans="1:15" ht="33" customHeight="1" x14ac:dyDescent="0.25">
      <c r="A8" s="761">
        <v>3</v>
      </c>
      <c r="B8" s="762" t="s">
        <v>260</v>
      </c>
      <c r="C8" s="951"/>
      <c r="D8" s="952"/>
      <c r="E8" s="951"/>
      <c r="F8" s="952"/>
    </row>
    <row r="9" spans="1:15" s="765" customFormat="1" ht="48" customHeight="1" x14ac:dyDescent="0.25">
      <c r="A9" s="763">
        <v>4</v>
      </c>
      <c r="B9" s="764" t="s">
        <v>259</v>
      </c>
      <c r="C9" s="949"/>
      <c r="D9" s="950"/>
      <c r="E9" s="951"/>
      <c r="F9" s="953"/>
    </row>
    <row r="10" spans="1:15" ht="63" customHeight="1" x14ac:dyDescent="0.25">
      <c r="A10" s="761">
        <v>5</v>
      </c>
      <c r="B10" s="762" t="s">
        <v>258</v>
      </c>
      <c r="C10" s="954"/>
      <c r="D10" s="950"/>
      <c r="E10" s="951"/>
      <c r="F10" s="952"/>
    </row>
    <row r="11" spans="1:15" ht="37.5" customHeight="1" x14ac:dyDescent="0.25">
      <c r="A11" s="761">
        <v>6</v>
      </c>
      <c r="B11" s="762" t="s">
        <v>257</v>
      </c>
      <c r="C11" s="951"/>
      <c r="D11" s="952"/>
      <c r="E11" s="951"/>
      <c r="F11" s="952"/>
    </row>
    <row r="12" spans="1:15" ht="37.5" customHeight="1" x14ac:dyDescent="0.25">
      <c r="A12" s="761">
        <v>7</v>
      </c>
      <c r="B12" s="762" t="s">
        <v>256</v>
      </c>
      <c r="C12" s="949"/>
      <c r="D12" s="950"/>
      <c r="E12" s="951"/>
      <c r="F12" s="952"/>
    </row>
    <row r="13" spans="1:15" ht="41.25" customHeight="1" x14ac:dyDescent="0.25">
      <c r="A13" s="761">
        <v>8</v>
      </c>
      <c r="B13" s="762" t="s">
        <v>255</v>
      </c>
      <c r="C13" s="951"/>
      <c r="D13" s="952"/>
      <c r="E13" s="951"/>
      <c r="F13" s="952"/>
    </row>
    <row r="14" spans="1:15" ht="36.75" customHeight="1" x14ac:dyDescent="0.25">
      <c r="A14" s="761">
        <v>9</v>
      </c>
      <c r="B14" s="762" t="s">
        <v>254</v>
      </c>
      <c r="C14" s="955"/>
      <c r="D14" s="952"/>
      <c r="E14" s="951"/>
      <c r="F14" s="952"/>
    </row>
    <row r="15" spans="1:15" ht="30" customHeight="1" x14ac:dyDescent="0.25">
      <c r="A15" s="761">
        <v>10</v>
      </c>
      <c r="B15" s="762" t="s">
        <v>253</v>
      </c>
      <c r="C15" s="951"/>
      <c r="D15" s="952"/>
      <c r="E15" s="951"/>
      <c r="F15" s="952"/>
    </row>
  </sheetData>
  <sheetProtection algorithmName="SHA-512" hashValue="i3TYCdsURDYEb6sHkzn2G7qzSaJWG5WrLgBrp1ElscQE96V+qf6GV9ryATOvaWfHiHgeQL8eAv929vlAK0bINg==" saltValue="jeyJODlKKToWgbdlSHEhGA==" spinCount="100000" sheet="1" objects="1" scenarios="1"/>
  <mergeCells count="4">
    <mergeCell ref="A1:F1"/>
    <mergeCell ref="A3:F3"/>
    <mergeCell ref="C4:D4"/>
    <mergeCell ref="E4:F4"/>
  </mergeCells>
  <dataValidations count="1">
    <dataValidation type="list" allowBlank="1" showInputMessage="1" showErrorMessage="1" sqref="E6:E15 C7:C8 C11 C15 C13">
      <formula1>"YES,NO"</formula1>
    </dataValidation>
  </dataValidations>
  <pageMargins left="0.7" right="0.7" top="0.75" bottom="0.75" header="0.3" footer="0.3"/>
  <pageSetup paperSize="9" scale="36"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CL158"/>
  <sheetViews>
    <sheetView workbookViewId="0"/>
  </sheetViews>
  <sheetFormatPr defaultRowHeight="12.75" x14ac:dyDescent="0.2"/>
  <sheetData>
    <row r="1" spans="1:90" x14ac:dyDescent="0.2">
      <c r="A1" t="s">
        <v>617</v>
      </c>
      <c r="B1" t="s">
        <v>618</v>
      </c>
      <c r="Y1" t="s">
        <v>926</v>
      </c>
      <c r="Z1" t="s">
        <v>927</v>
      </c>
      <c r="AA1" t="s">
        <v>619</v>
      </c>
      <c r="AB1" t="s">
        <v>777</v>
      </c>
      <c r="AC1" t="s">
        <v>779</v>
      </c>
      <c r="AD1" t="s">
        <v>780</v>
      </c>
      <c r="AE1" t="s">
        <v>781</v>
      </c>
      <c r="AF1" t="s">
        <v>782</v>
      </c>
      <c r="AG1" t="s">
        <v>784</v>
      </c>
      <c r="AH1" t="s">
        <v>790</v>
      </c>
      <c r="AI1" t="s">
        <v>791</v>
      </c>
      <c r="AJ1" t="s">
        <v>796</v>
      </c>
      <c r="AK1" t="s">
        <v>799</v>
      </c>
      <c r="AL1" t="s">
        <v>801</v>
      </c>
      <c r="AM1" t="s">
        <v>802</v>
      </c>
      <c r="AN1" t="s">
        <v>803</v>
      </c>
      <c r="AO1" t="s">
        <v>804</v>
      </c>
      <c r="AP1" t="s">
        <v>805</v>
      </c>
      <c r="AQ1" t="s">
        <v>806</v>
      </c>
      <c r="AR1" t="s">
        <v>807</v>
      </c>
      <c r="AS1" t="s">
        <v>809</v>
      </c>
      <c r="AT1" t="s">
        <v>810</v>
      </c>
      <c r="AU1" t="s">
        <v>811</v>
      </c>
      <c r="AV1" t="s">
        <v>812</v>
      </c>
      <c r="AW1" t="s">
        <v>813</v>
      </c>
      <c r="AX1" t="s">
        <v>814</v>
      </c>
      <c r="AY1" t="s">
        <v>815</v>
      </c>
      <c r="AZ1" t="s">
        <v>816</v>
      </c>
      <c r="BA1" t="s">
        <v>817</v>
      </c>
      <c r="BB1" t="s">
        <v>818</v>
      </c>
      <c r="BC1" t="s">
        <v>819</v>
      </c>
      <c r="BD1" t="s">
        <v>844</v>
      </c>
      <c r="BE1" t="s">
        <v>848</v>
      </c>
      <c r="BF1" t="s">
        <v>849</v>
      </c>
      <c r="BG1" t="s">
        <v>850</v>
      </c>
      <c r="BH1" t="s">
        <v>851</v>
      </c>
      <c r="BI1" t="s">
        <v>883</v>
      </c>
      <c r="BJ1" t="s">
        <v>884</v>
      </c>
      <c r="BK1" t="s">
        <v>886</v>
      </c>
      <c r="BL1" t="s">
        <v>887</v>
      </c>
      <c r="BM1" t="s">
        <v>888</v>
      </c>
      <c r="BN1" t="s">
        <v>889</v>
      </c>
      <c r="BO1" t="s">
        <v>890</v>
      </c>
      <c r="BP1" t="s">
        <v>891</v>
      </c>
      <c r="BQ1" t="s">
        <v>892</v>
      </c>
      <c r="BR1" t="s">
        <v>893</v>
      </c>
      <c r="BS1" t="s">
        <v>894</v>
      </c>
      <c r="BT1" t="s">
        <v>895</v>
      </c>
      <c r="BU1" t="s">
        <v>896</v>
      </c>
      <c r="BV1" t="s">
        <v>897</v>
      </c>
      <c r="BW1" t="s">
        <v>898</v>
      </c>
      <c r="BX1" t="s">
        <v>899</v>
      </c>
      <c r="BY1" t="s">
        <v>900</v>
      </c>
      <c r="BZ1" t="s">
        <v>902</v>
      </c>
      <c r="CA1" t="s">
        <v>904</v>
      </c>
      <c r="CB1" t="s">
        <v>905</v>
      </c>
      <c r="CC1" t="s">
        <v>906</v>
      </c>
      <c r="CD1" t="s">
        <v>907</v>
      </c>
      <c r="CE1" t="s">
        <v>908</v>
      </c>
      <c r="CF1" t="s">
        <v>909</v>
      </c>
      <c r="CG1" t="s">
        <v>910</v>
      </c>
      <c r="CH1" t="s">
        <v>911</v>
      </c>
      <c r="CI1" t="s">
        <v>912</v>
      </c>
      <c r="CJ1" t="s">
        <v>913</v>
      </c>
      <c r="CK1" t="s">
        <v>914</v>
      </c>
      <c r="CL1" t="s">
        <v>922</v>
      </c>
    </row>
    <row r="2" spans="1:90" x14ac:dyDescent="0.2">
      <c r="Y2" s="1162" t="s">
        <v>928</v>
      </c>
      <c r="Z2" s="1162" t="s">
        <v>929</v>
      </c>
      <c r="AA2" s="1162" t="s">
        <v>620</v>
      </c>
      <c r="AB2" s="1162" t="s">
        <v>5</v>
      </c>
      <c r="AC2" s="1162" t="s">
        <v>5</v>
      </c>
      <c r="AD2" s="1162" t="s">
        <v>5</v>
      </c>
      <c r="AE2" s="1162" t="s">
        <v>5</v>
      </c>
      <c r="AF2" s="1162" t="s">
        <v>5</v>
      </c>
      <c r="AG2" s="1162" t="s">
        <v>785</v>
      </c>
      <c r="AH2" s="1162" t="s">
        <v>785</v>
      </c>
      <c r="AI2" s="1162" t="s">
        <v>792</v>
      </c>
      <c r="AJ2" s="1162" t="s">
        <v>426</v>
      </c>
      <c r="AK2" s="1162" t="s">
        <v>7</v>
      </c>
      <c r="AL2" s="1162" t="s">
        <v>7</v>
      </c>
      <c r="AM2" s="1162" t="s">
        <v>7</v>
      </c>
      <c r="AN2" s="1162" t="s">
        <v>7</v>
      </c>
      <c r="AO2" s="1162" t="s">
        <v>7</v>
      </c>
      <c r="AP2" s="1162" t="s">
        <v>7</v>
      </c>
      <c r="AQ2" s="1162" t="s">
        <v>409</v>
      </c>
      <c r="AR2" s="1162" t="s">
        <v>409</v>
      </c>
      <c r="AS2" s="1162" t="s">
        <v>409</v>
      </c>
      <c r="AT2" s="1162" t="s">
        <v>409</v>
      </c>
      <c r="AU2" s="1162" t="s">
        <v>409</v>
      </c>
      <c r="AV2" s="1162" t="s">
        <v>409</v>
      </c>
      <c r="AW2" s="1162" t="s">
        <v>409</v>
      </c>
      <c r="AX2" s="1162" t="s">
        <v>409</v>
      </c>
      <c r="AY2" s="1162" t="s">
        <v>409</v>
      </c>
      <c r="AZ2" s="1162" t="s">
        <v>409</v>
      </c>
      <c r="BA2" s="1162" t="s">
        <v>409</v>
      </c>
      <c r="BB2" s="1162" t="s">
        <v>409</v>
      </c>
      <c r="BC2" s="1162" t="s">
        <v>820</v>
      </c>
      <c r="BD2" s="1162" t="s">
        <v>845</v>
      </c>
      <c r="BE2" s="1162" t="s">
        <v>820</v>
      </c>
      <c r="BF2" s="1162" t="s">
        <v>820</v>
      </c>
      <c r="BG2" s="1162" t="s">
        <v>820</v>
      </c>
      <c r="BH2" s="1162" t="s">
        <v>852</v>
      </c>
      <c r="BI2" s="1162" t="s">
        <v>852</v>
      </c>
      <c r="BJ2" s="1162" t="s">
        <v>5</v>
      </c>
      <c r="BK2" s="1162" t="s">
        <v>820</v>
      </c>
      <c r="BL2" s="1162" t="s">
        <v>852</v>
      </c>
      <c r="BM2" s="1162" t="s">
        <v>852</v>
      </c>
      <c r="BN2" s="1162" t="s">
        <v>820</v>
      </c>
      <c r="BO2" s="1162" t="s">
        <v>845</v>
      </c>
      <c r="BP2" s="1162" t="s">
        <v>820</v>
      </c>
      <c r="BQ2" s="1162" t="s">
        <v>820</v>
      </c>
      <c r="BR2" s="1162" t="s">
        <v>820</v>
      </c>
      <c r="BS2" s="1162" t="s">
        <v>852</v>
      </c>
      <c r="BT2" s="1162" t="s">
        <v>852</v>
      </c>
      <c r="BU2" s="1162" t="s">
        <v>5</v>
      </c>
      <c r="BV2" s="1162" t="s">
        <v>820</v>
      </c>
      <c r="BW2" s="1162" t="s">
        <v>852</v>
      </c>
      <c r="BX2" s="1162" t="s">
        <v>852</v>
      </c>
      <c r="BY2" s="1162" t="s">
        <v>901</v>
      </c>
      <c r="BZ2" s="1162" t="s">
        <v>939</v>
      </c>
      <c r="CA2" s="1162" t="s">
        <v>820</v>
      </c>
      <c r="CB2" s="1162" t="s">
        <v>845</v>
      </c>
      <c r="CC2" s="1162" t="s">
        <v>852</v>
      </c>
      <c r="CD2" s="1162" t="s">
        <v>852</v>
      </c>
      <c r="CE2" s="1162" t="s">
        <v>5</v>
      </c>
      <c r="CF2" s="1162" t="s">
        <v>820</v>
      </c>
      <c r="CG2" s="1162" t="s">
        <v>852</v>
      </c>
      <c r="CH2" s="1162" t="s">
        <v>852</v>
      </c>
      <c r="CI2" s="1162" t="s">
        <v>198</v>
      </c>
      <c r="CJ2" s="1162" t="s">
        <v>198</v>
      </c>
      <c r="CK2" s="1162" t="s">
        <v>915</v>
      </c>
      <c r="CL2" s="1162" t="s">
        <v>923</v>
      </c>
    </row>
    <row r="3" spans="1:90" x14ac:dyDescent="0.2">
      <c r="Y3" s="1162" t="s">
        <v>930</v>
      </c>
      <c r="Z3" s="1162" t="s">
        <v>931</v>
      </c>
      <c r="AA3" s="1162" t="s">
        <v>621</v>
      </c>
      <c r="AB3" s="1162" t="s">
        <v>6</v>
      </c>
      <c r="AC3" s="1162" t="s">
        <v>6</v>
      </c>
      <c r="AD3" s="1162" t="s">
        <v>6</v>
      </c>
      <c r="AE3" s="1162" t="s">
        <v>6</v>
      </c>
      <c r="AF3" s="1162" t="s">
        <v>6</v>
      </c>
      <c r="AG3" s="1162" t="s">
        <v>786</v>
      </c>
      <c r="AH3" s="1162" t="s">
        <v>786</v>
      </c>
      <c r="AI3" s="1162" t="s">
        <v>793</v>
      </c>
      <c r="AJ3" s="1162" t="s">
        <v>797</v>
      </c>
      <c r="AK3" s="1162" t="s">
        <v>8</v>
      </c>
      <c r="AL3" s="1162" t="s">
        <v>8</v>
      </c>
      <c r="AM3" s="1162" t="s">
        <v>8</v>
      </c>
      <c r="AN3" s="1162" t="s">
        <v>8</v>
      </c>
      <c r="AO3" s="1162" t="s">
        <v>8</v>
      </c>
      <c r="AP3" s="1162" t="s">
        <v>8</v>
      </c>
      <c r="AQ3" s="1162" t="s">
        <v>412</v>
      </c>
      <c r="AR3" s="1162" t="s">
        <v>412</v>
      </c>
      <c r="AS3" s="1162" t="s">
        <v>412</v>
      </c>
      <c r="AT3" s="1162" t="s">
        <v>412</v>
      </c>
      <c r="AU3" s="1162" t="s">
        <v>412</v>
      </c>
      <c r="AV3" s="1162" t="s">
        <v>412</v>
      </c>
      <c r="AW3" s="1162" t="s">
        <v>412</v>
      </c>
      <c r="AX3" s="1162" t="s">
        <v>412</v>
      </c>
      <c r="AY3" s="1162" t="s">
        <v>412</v>
      </c>
      <c r="AZ3" s="1162" t="s">
        <v>412</v>
      </c>
      <c r="BA3" s="1162" t="s">
        <v>412</v>
      </c>
      <c r="BB3" s="1162" t="s">
        <v>412</v>
      </c>
      <c r="BC3" s="1162" t="s">
        <v>821</v>
      </c>
      <c r="BD3" s="1162" t="s">
        <v>846</v>
      </c>
      <c r="BE3" s="1162" t="s">
        <v>821</v>
      </c>
      <c r="BF3" s="1162" t="s">
        <v>821</v>
      </c>
      <c r="BG3" s="1162" t="s">
        <v>821</v>
      </c>
      <c r="BH3" s="1162" t="s">
        <v>853</v>
      </c>
      <c r="BI3" s="1162" t="s">
        <v>853</v>
      </c>
      <c r="BJ3" s="1162" t="s">
        <v>6</v>
      </c>
      <c r="BK3" s="1162" t="s">
        <v>821</v>
      </c>
      <c r="BL3" s="1162" t="s">
        <v>853</v>
      </c>
      <c r="BM3" s="1162" t="s">
        <v>853</v>
      </c>
      <c r="BN3" s="1162" t="s">
        <v>821</v>
      </c>
      <c r="BO3" s="1162" t="s">
        <v>846</v>
      </c>
      <c r="BP3" s="1162" t="s">
        <v>821</v>
      </c>
      <c r="BQ3" s="1162" t="s">
        <v>821</v>
      </c>
      <c r="BR3" s="1162" t="s">
        <v>821</v>
      </c>
      <c r="BS3" s="1162" t="s">
        <v>853</v>
      </c>
      <c r="BT3" s="1162" t="s">
        <v>853</v>
      </c>
      <c r="BU3" s="1162" t="s">
        <v>6</v>
      </c>
      <c r="BV3" s="1162" t="s">
        <v>821</v>
      </c>
      <c r="BW3" s="1162" t="s">
        <v>853</v>
      </c>
      <c r="BX3" s="1162" t="s">
        <v>853</v>
      </c>
      <c r="BY3" s="1162" t="s">
        <v>938</v>
      </c>
      <c r="BZ3" s="1162" t="s">
        <v>940</v>
      </c>
      <c r="CA3" s="1162" t="s">
        <v>821</v>
      </c>
      <c r="CB3" s="1162" t="s">
        <v>846</v>
      </c>
      <c r="CC3" s="1162" t="s">
        <v>853</v>
      </c>
      <c r="CD3" s="1162" t="s">
        <v>853</v>
      </c>
      <c r="CE3" s="1162" t="s">
        <v>6</v>
      </c>
      <c r="CF3" s="1162" t="s">
        <v>821</v>
      </c>
      <c r="CG3" s="1162" t="s">
        <v>853</v>
      </c>
      <c r="CH3" s="1162" t="s">
        <v>853</v>
      </c>
      <c r="CI3" s="1162" t="s">
        <v>199</v>
      </c>
      <c r="CJ3" s="1162" t="s">
        <v>199</v>
      </c>
      <c r="CK3" s="1162" t="s">
        <v>916</v>
      </c>
      <c r="CL3" s="1162" t="s">
        <v>924</v>
      </c>
    </row>
    <row r="4" spans="1:90" x14ac:dyDescent="0.2">
      <c r="Y4" s="1162" t="s">
        <v>350</v>
      </c>
      <c r="Z4" s="1162" t="s">
        <v>932</v>
      </c>
      <c r="AA4" s="1162" t="s">
        <v>622</v>
      </c>
      <c r="AB4" s="1162" t="s">
        <v>778</v>
      </c>
      <c r="AC4" s="1162" t="s">
        <v>778</v>
      </c>
      <c r="AD4" s="1162" t="s">
        <v>778</v>
      </c>
      <c r="AE4" s="1162" t="s">
        <v>778</v>
      </c>
      <c r="AF4" s="1162" t="s">
        <v>783</v>
      </c>
      <c r="AG4" s="1162" t="s">
        <v>787</v>
      </c>
      <c r="AH4" s="1162" t="s">
        <v>787</v>
      </c>
      <c r="AI4" s="1162" t="s">
        <v>794</v>
      </c>
      <c r="AJ4" s="1162" t="s">
        <v>798</v>
      </c>
      <c r="AK4" s="1162" t="s">
        <v>9</v>
      </c>
      <c r="AL4" s="1162" t="s">
        <v>9</v>
      </c>
      <c r="AM4" s="1162" t="s">
        <v>9</v>
      </c>
      <c r="AN4" s="1162" t="s">
        <v>9</v>
      </c>
      <c r="AO4" s="1162" t="s">
        <v>9</v>
      </c>
      <c r="AP4" s="1162" t="s">
        <v>9</v>
      </c>
      <c r="AQ4" s="1162" t="s">
        <v>198</v>
      </c>
      <c r="AR4" s="1162" t="s">
        <v>198</v>
      </c>
      <c r="AS4" s="1162" t="s">
        <v>198</v>
      </c>
      <c r="AT4" s="1162" t="s">
        <v>198</v>
      </c>
      <c r="AU4" s="1162" t="s">
        <v>198</v>
      </c>
      <c r="AV4" s="1162" t="s">
        <v>198</v>
      </c>
      <c r="AW4" s="1162" t="s">
        <v>198</v>
      </c>
      <c r="AX4" s="1162" t="s">
        <v>198</v>
      </c>
      <c r="AY4" s="1162" t="s">
        <v>198</v>
      </c>
      <c r="AZ4" s="1162" t="s">
        <v>198</v>
      </c>
      <c r="BA4" s="1162" t="s">
        <v>198</v>
      </c>
      <c r="BB4" s="1162" t="s">
        <v>198</v>
      </c>
      <c r="BC4" s="1162" t="s">
        <v>822</v>
      </c>
      <c r="BD4" s="1162" t="s">
        <v>847</v>
      </c>
      <c r="BE4" s="1162" t="s">
        <v>822</v>
      </c>
      <c r="BF4" s="1162" t="s">
        <v>822</v>
      </c>
      <c r="BG4" s="1162" t="s">
        <v>822</v>
      </c>
      <c r="BH4" s="1162" t="s">
        <v>854</v>
      </c>
      <c r="BI4" s="1162" t="s">
        <v>854</v>
      </c>
      <c r="BJ4" s="1162" t="s">
        <v>885</v>
      </c>
      <c r="BK4" s="1162" t="s">
        <v>822</v>
      </c>
      <c r="BL4" s="1162" t="s">
        <v>854</v>
      </c>
      <c r="BM4" s="1162" t="s">
        <v>854</v>
      </c>
      <c r="BN4" s="1162" t="s">
        <v>822</v>
      </c>
      <c r="BO4" s="1162" t="s">
        <v>847</v>
      </c>
      <c r="BP4" s="1162" t="s">
        <v>822</v>
      </c>
      <c r="BQ4" s="1162" t="s">
        <v>822</v>
      </c>
      <c r="BR4" s="1162" t="s">
        <v>822</v>
      </c>
      <c r="BS4" s="1162" t="s">
        <v>854</v>
      </c>
      <c r="BT4" s="1162" t="s">
        <v>854</v>
      </c>
      <c r="BU4" s="1162" t="s">
        <v>885</v>
      </c>
      <c r="BV4" s="1162" t="s">
        <v>822</v>
      </c>
      <c r="BW4" s="1162" t="s">
        <v>854</v>
      </c>
      <c r="BX4" s="1162" t="s">
        <v>854</v>
      </c>
      <c r="BZ4" s="1162" t="s">
        <v>903</v>
      </c>
      <c r="CA4" s="1162" t="s">
        <v>822</v>
      </c>
      <c r="CB4" s="1162" t="s">
        <v>847</v>
      </c>
      <c r="CC4" s="1162" t="s">
        <v>854</v>
      </c>
      <c r="CD4" s="1162" t="s">
        <v>854</v>
      </c>
      <c r="CE4" s="1162" t="s">
        <v>885</v>
      </c>
      <c r="CF4" s="1162" t="s">
        <v>822</v>
      </c>
      <c r="CG4" s="1162" t="s">
        <v>854</v>
      </c>
      <c r="CH4" s="1162" t="s">
        <v>854</v>
      </c>
      <c r="CI4" s="1162" t="s">
        <v>200</v>
      </c>
      <c r="CJ4" s="1162" t="s">
        <v>200</v>
      </c>
      <c r="CK4" s="1162" t="s">
        <v>917</v>
      </c>
      <c r="CL4" s="1162" t="s">
        <v>925</v>
      </c>
    </row>
    <row r="5" spans="1:90" x14ac:dyDescent="0.2">
      <c r="Y5" s="1162" t="s">
        <v>933</v>
      </c>
      <c r="Z5" s="1162" t="s">
        <v>934</v>
      </c>
      <c r="AA5" s="1162" t="s">
        <v>623</v>
      </c>
      <c r="AG5" s="1162" t="s">
        <v>788</v>
      </c>
      <c r="AH5" s="1162" t="s">
        <v>788</v>
      </c>
      <c r="AI5" s="1162" t="s">
        <v>795</v>
      </c>
      <c r="AJ5" s="1162" t="s">
        <v>936</v>
      </c>
      <c r="AK5" s="1162" t="s">
        <v>10</v>
      </c>
      <c r="AL5" s="1162" t="s">
        <v>10</v>
      </c>
      <c r="AM5" s="1162" t="s">
        <v>10</v>
      </c>
      <c r="AN5" s="1162" t="s">
        <v>10</v>
      </c>
      <c r="AO5" s="1162" t="s">
        <v>10</v>
      </c>
      <c r="AP5" s="1162" t="s">
        <v>10</v>
      </c>
      <c r="AQ5" s="1162" t="s">
        <v>413</v>
      </c>
      <c r="AR5" s="1162" t="s">
        <v>413</v>
      </c>
      <c r="AS5" s="1162" t="s">
        <v>413</v>
      </c>
      <c r="AT5" s="1162" t="s">
        <v>413</v>
      </c>
      <c r="AU5" s="1162" t="s">
        <v>413</v>
      </c>
      <c r="AV5" s="1162" t="s">
        <v>413</v>
      </c>
      <c r="AW5" s="1162" t="s">
        <v>413</v>
      </c>
      <c r="AX5" s="1162" t="s">
        <v>413</v>
      </c>
      <c r="AY5" s="1162" t="s">
        <v>413</v>
      </c>
      <c r="AZ5" s="1162" t="s">
        <v>413</v>
      </c>
      <c r="BA5" s="1162" t="s">
        <v>413</v>
      </c>
      <c r="BB5" s="1162" t="s">
        <v>413</v>
      </c>
      <c r="BC5" s="1162" t="s">
        <v>823</v>
      </c>
      <c r="BE5" s="1162" t="s">
        <v>823</v>
      </c>
      <c r="BF5" s="1162" t="s">
        <v>823</v>
      </c>
      <c r="BG5" s="1162" t="s">
        <v>823</v>
      </c>
      <c r="BH5" s="1162" t="s">
        <v>855</v>
      </c>
      <c r="BI5" s="1162" t="s">
        <v>855</v>
      </c>
      <c r="BK5" s="1162" t="s">
        <v>823</v>
      </c>
      <c r="BL5" s="1162" t="s">
        <v>855</v>
      </c>
      <c r="BM5" s="1162" t="s">
        <v>855</v>
      </c>
      <c r="BN5" s="1162" t="s">
        <v>823</v>
      </c>
      <c r="BP5" s="1162" t="s">
        <v>823</v>
      </c>
      <c r="BQ5" s="1162" t="s">
        <v>823</v>
      </c>
      <c r="BR5" s="1162" t="s">
        <v>823</v>
      </c>
      <c r="BS5" s="1162" t="s">
        <v>855</v>
      </c>
      <c r="BT5" s="1162" t="s">
        <v>855</v>
      </c>
      <c r="BV5" s="1162" t="s">
        <v>823</v>
      </c>
      <c r="BW5" s="1162" t="s">
        <v>855</v>
      </c>
      <c r="BX5" s="1162" t="s">
        <v>855</v>
      </c>
      <c r="CA5" s="1162" t="s">
        <v>823</v>
      </c>
      <c r="CC5" s="1162" t="s">
        <v>855</v>
      </c>
      <c r="CD5" s="1162" t="s">
        <v>855</v>
      </c>
      <c r="CF5" s="1162" t="s">
        <v>823</v>
      </c>
      <c r="CG5" s="1162" t="s">
        <v>855</v>
      </c>
      <c r="CH5" s="1162" t="s">
        <v>855</v>
      </c>
      <c r="CI5" s="1162" t="s">
        <v>201</v>
      </c>
      <c r="CJ5" s="1162" t="s">
        <v>201</v>
      </c>
      <c r="CK5" s="1162" t="s">
        <v>918</v>
      </c>
    </row>
    <row r="6" spans="1:90" x14ac:dyDescent="0.2">
      <c r="Y6" s="1162" t="s">
        <v>935</v>
      </c>
      <c r="Z6" s="1162" t="s">
        <v>935</v>
      </c>
      <c r="AA6" s="1162" t="s">
        <v>624</v>
      </c>
      <c r="AG6" s="1162" t="s">
        <v>789</v>
      </c>
      <c r="AH6" s="1162" t="s">
        <v>789</v>
      </c>
      <c r="AJ6" s="1162" t="s">
        <v>937</v>
      </c>
      <c r="AK6" s="1162" t="s">
        <v>800</v>
      </c>
      <c r="AL6" s="1162" t="s">
        <v>800</v>
      </c>
      <c r="AM6" s="1162" t="s">
        <v>800</v>
      </c>
      <c r="AN6" s="1162" t="s">
        <v>800</v>
      </c>
      <c r="AO6" s="1162" t="s">
        <v>800</v>
      </c>
      <c r="AP6" s="1162" t="s">
        <v>800</v>
      </c>
      <c r="AR6" s="1162" t="s">
        <v>808</v>
      </c>
      <c r="AS6" s="1162" t="s">
        <v>808</v>
      </c>
      <c r="AT6" s="1162" t="s">
        <v>808</v>
      </c>
      <c r="AU6" s="1162" t="s">
        <v>808</v>
      </c>
      <c r="AV6" s="1162" t="s">
        <v>808</v>
      </c>
      <c r="AX6" s="1162" t="s">
        <v>808</v>
      </c>
      <c r="AY6" s="1162" t="s">
        <v>808</v>
      </c>
      <c r="AZ6" s="1162" t="s">
        <v>808</v>
      </c>
      <c r="BA6" s="1162" t="s">
        <v>808</v>
      </c>
      <c r="BB6" s="1162" t="s">
        <v>808</v>
      </c>
      <c r="BC6" s="1162" t="s">
        <v>824</v>
      </c>
      <c r="BE6" s="1162" t="s">
        <v>824</v>
      </c>
      <c r="BF6" s="1162" t="s">
        <v>824</v>
      </c>
      <c r="BG6" s="1162" t="s">
        <v>824</v>
      </c>
      <c r="BH6" s="1162" t="s">
        <v>856</v>
      </c>
      <c r="BI6" s="1162" t="s">
        <v>856</v>
      </c>
      <c r="BK6" s="1162" t="s">
        <v>824</v>
      </c>
      <c r="BL6" s="1162" t="s">
        <v>856</v>
      </c>
      <c r="BM6" s="1162" t="s">
        <v>856</v>
      </c>
      <c r="BN6" s="1162" t="s">
        <v>824</v>
      </c>
      <c r="BP6" s="1162" t="s">
        <v>824</v>
      </c>
      <c r="BQ6" s="1162" t="s">
        <v>824</v>
      </c>
      <c r="BR6" s="1162" t="s">
        <v>824</v>
      </c>
      <c r="BS6" s="1162" t="s">
        <v>856</v>
      </c>
      <c r="BT6" s="1162" t="s">
        <v>856</v>
      </c>
      <c r="BV6" s="1162" t="s">
        <v>824</v>
      </c>
      <c r="BW6" s="1162" t="s">
        <v>856</v>
      </c>
      <c r="BX6" s="1162" t="s">
        <v>856</v>
      </c>
      <c r="CA6" s="1162" t="s">
        <v>824</v>
      </c>
      <c r="CC6" s="1162" t="s">
        <v>856</v>
      </c>
      <c r="CD6" s="1162" t="s">
        <v>856</v>
      </c>
      <c r="CF6" s="1162" t="s">
        <v>824</v>
      </c>
      <c r="CG6" s="1162" t="s">
        <v>856</v>
      </c>
      <c r="CH6" s="1162" t="s">
        <v>856</v>
      </c>
      <c r="CK6" s="1162" t="s">
        <v>919</v>
      </c>
    </row>
    <row r="7" spans="1:90" x14ac:dyDescent="0.2">
      <c r="Y7" s="1162" t="s">
        <v>928</v>
      </c>
      <c r="Z7" s="1162" t="s">
        <v>929</v>
      </c>
      <c r="AA7" s="1162" t="s">
        <v>625</v>
      </c>
      <c r="BC7" s="1162" t="s">
        <v>825</v>
      </c>
      <c r="BE7" s="1162" t="s">
        <v>825</v>
      </c>
      <c r="BF7" s="1162" t="s">
        <v>825</v>
      </c>
      <c r="BG7" s="1162" t="s">
        <v>825</v>
      </c>
      <c r="BH7" s="1162" t="s">
        <v>857</v>
      </c>
      <c r="BI7" s="1162" t="s">
        <v>857</v>
      </c>
      <c r="BK7" s="1162" t="s">
        <v>825</v>
      </c>
      <c r="BL7" s="1162" t="s">
        <v>857</v>
      </c>
      <c r="BM7" s="1162" t="s">
        <v>857</v>
      </c>
      <c r="BN7" s="1162" t="s">
        <v>825</v>
      </c>
      <c r="BP7" s="1162" t="s">
        <v>825</v>
      </c>
      <c r="BQ7" s="1162" t="s">
        <v>825</v>
      </c>
      <c r="BR7" s="1162" t="s">
        <v>825</v>
      </c>
      <c r="BS7" s="1162" t="s">
        <v>857</v>
      </c>
      <c r="BT7" s="1162" t="s">
        <v>857</v>
      </c>
      <c r="BV7" s="1162" t="s">
        <v>825</v>
      </c>
      <c r="BW7" s="1162" t="s">
        <v>857</v>
      </c>
      <c r="BX7" s="1162" t="s">
        <v>857</v>
      </c>
      <c r="CA7" s="1162" t="s">
        <v>825</v>
      </c>
      <c r="CC7" s="1162" t="s">
        <v>857</v>
      </c>
      <c r="CD7" s="1162" t="s">
        <v>857</v>
      </c>
      <c r="CF7" s="1162" t="s">
        <v>825</v>
      </c>
      <c r="CG7" s="1162" t="s">
        <v>857</v>
      </c>
      <c r="CH7" s="1162" t="s">
        <v>857</v>
      </c>
      <c r="CK7" s="1162" t="s">
        <v>920</v>
      </c>
    </row>
    <row r="8" spans="1:90" x14ac:dyDescent="0.2">
      <c r="Y8" s="1162" t="s">
        <v>930</v>
      </c>
      <c r="Z8" s="1162" t="s">
        <v>931</v>
      </c>
      <c r="AA8" s="1162" t="s">
        <v>626</v>
      </c>
      <c r="BC8" s="1162" t="s">
        <v>826</v>
      </c>
      <c r="BE8" s="1162" t="s">
        <v>826</v>
      </c>
      <c r="BF8" s="1162" t="s">
        <v>826</v>
      </c>
      <c r="BG8" s="1162" t="s">
        <v>826</v>
      </c>
      <c r="BH8" s="1162" t="s">
        <v>858</v>
      </c>
      <c r="BI8" s="1162" t="s">
        <v>858</v>
      </c>
      <c r="BK8" s="1162" t="s">
        <v>826</v>
      </c>
      <c r="BL8" s="1162" t="s">
        <v>858</v>
      </c>
      <c r="BM8" s="1162" t="s">
        <v>858</v>
      </c>
      <c r="BN8" s="1162" t="s">
        <v>826</v>
      </c>
      <c r="BP8" s="1162" t="s">
        <v>826</v>
      </c>
      <c r="BQ8" s="1162" t="s">
        <v>826</v>
      </c>
      <c r="BR8" s="1162" t="s">
        <v>826</v>
      </c>
      <c r="BS8" s="1162" t="s">
        <v>858</v>
      </c>
      <c r="BT8" s="1162" t="s">
        <v>858</v>
      </c>
      <c r="BV8" s="1162" t="s">
        <v>826</v>
      </c>
      <c r="BW8" s="1162" t="s">
        <v>858</v>
      </c>
      <c r="BX8" s="1162" t="s">
        <v>858</v>
      </c>
      <c r="CA8" s="1162" t="s">
        <v>826</v>
      </c>
      <c r="CC8" s="1162" t="s">
        <v>858</v>
      </c>
      <c r="CD8" s="1162" t="s">
        <v>858</v>
      </c>
      <c r="CF8" s="1162" t="s">
        <v>826</v>
      </c>
      <c r="CG8" s="1162" t="s">
        <v>858</v>
      </c>
      <c r="CH8" s="1162" t="s">
        <v>858</v>
      </c>
      <c r="CK8" s="1162" t="s">
        <v>921</v>
      </c>
    </row>
    <row r="9" spans="1:90" x14ac:dyDescent="0.2">
      <c r="Y9" s="1162" t="s">
        <v>350</v>
      </c>
      <c r="Z9" s="1162" t="s">
        <v>932</v>
      </c>
      <c r="AA9" s="1162" t="s">
        <v>627</v>
      </c>
      <c r="BC9" s="1162" t="s">
        <v>827</v>
      </c>
      <c r="BE9" s="1162" t="s">
        <v>827</v>
      </c>
      <c r="BF9" s="1162" t="s">
        <v>827</v>
      </c>
      <c r="BG9" s="1162" t="s">
        <v>827</v>
      </c>
      <c r="BH9" s="1162" t="s">
        <v>859</v>
      </c>
      <c r="BI9" s="1162" t="s">
        <v>859</v>
      </c>
      <c r="BK9" s="1162" t="s">
        <v>827</v>
      </c>
      <c r="BL9" s="1162" t="s">
        <v>859</v>
      </c>
      <c r="BM9" s="1162" t="s">
        <v>859</v>
      </c>
      <c r="BN9" s="1162" t="s">
        <v>827</v>
      </c>
      <c r="BP9" s="1162" t="s">
        <v>827</v>
      </c>
      <c r="BQ9" s="1162" t="s">
        <v>827</v>
      </c>
      <c r="BR9" s="1162" t="s">
        <v>827</v>
      </c>
      <c r="BS9" s="1162" t="s">
        <v>859</v>
      </c>
      <c r="BT9" s="1162" t="s">
        <v>859</v>
      </c>
      <c r="BV9" s="1162" t="s">
        <v>827</v>
      </c>
      <c r="BW9" s="1162" t="s">
        <v>859</v>
      </c>
      <c r="BX9" s="1162" t="s">
        <v>859</v>
      </c>
      <c r="CA9" s="1162" t="s">
        <v>827</v>
      </c>
      <c r="CC9" s="1162" t="s">
        <v>859</v>
      </c>
      <c r="CD9" s="1162" t="s">
        <v>859</v>
      </c>
      <c r="CF9" s="1162" t="s">
        <v>827</v>
      </c>
      <c r="CG9" s="1162" t="s">
        <v>859</v>
      </c>
      <c r="CH9" s="1162" t="s">
        <v>859</v>
      </c>
      <c r="CK9" s="1162" t="s">
        <v>941</v>
      </c>
    </row>
    <row r="10" spans="1:90" x14ac:dyDescent="0.2">
      <c r="Y10" s="1162" t="s">
        <v>933</v>
      </c>
      <c r="Z10" s="1162" t="s">
        <v>934</v>
      </c>
      <c r="AA10" s="1162" t="s">
        <v>628</v>
      </c>
      <c r="BC10" s="1162" t="s">
        <v>828</v>
      </c>
      <c r="BE10" s="1162" t="s">
        <v>828</v>
      </c>
      <c r="BF10" s="1162" t="s">
        <v>828</v>
      </c>
      <c r="BG10" s="1162" t="s">
        <v>828</v>
      </c>
      <c r="BH10" s="1162" t="s">
        <v>860</v>
      </c>
      <c r="BI10" s="1162" t="s">
        <v>860</v>
      </c>
      <c r="BK10" s="1162" t="s">
        <v>828</v>
      </c>
      <c r="BL10" s="1162" t="s">
        <v>860</v>
      </c>
      <c r="BM10" s="1162" t="s">
        <v>860</v>
      </c>
      <c r="BN10" s="1162" t="s">
        <v>828</v>
      </c>
      <c r="BP10" s="1162" t="s">
        <v>828</v>
      </c>
      <c r="BQ10" s="1162" t="s">
        <v>828</v>
      </c>
      <c r="BR10" s="1162" t="s">
        <v>828</v>
      </c>
      <c r="BS10" s="1162" t="s">
        <v>860</v>
      </c>
      <c r="BT10" s="1162" t="s">
        <v>860</v>
      </c>
      <c r="BV10" s="1162" t="s">
        <v>828</v>
      </c>
      <c r="BW10" s="1162" t="s">
        <v>860</v>
      </c>
      <c r="BX10" s="1162" t="s">
        <v>860</v>
      </c>
      <c r="CA10" s="1162" t="s">
        <v>828</v>
      </c>
      <c r="CC10" s="1162" t="s">
        <v>860</v>
      </c>
      <c r="CD10" s="1162" t="s">
        <v>860</v>
      </c>
      <c r="CF10" s="1162" t="s">
        <v>828</v>
      </c>
      <c r="CG10" s="1162" t="s">
        <v>860</v>
      </c>
      <c r="CH10" s="1162" t="s">
        <v>860</v>
      </c>
      <c r="CK10" s="1162" t="s">
        <v>942</v>
      </c>
    </row>
    <row r="11" spans="1:90" x14ac:dyDescent="0.2">
      <c r="Y11" s="1162" t="s">
        <v>935</v>
      </c>
      <c r="Z11" s="1162" t="s">
        <v>935</v>
      </c>
      <c r="AA11" s="1162" t="s">
        <v>629</v>
      </c>
      <c r="BC11" s="1162" t="s">
        <v>829</v>
      </c>
      <c r="BE11" s="1162" t="s">
        <v>829</v>
      </c>
      <c r="BF11" s="1162" t="s">
        <v>829</v>
      </c>
      <c r="BG11" s="1162" t="s">
        <v>829</v>
      </c>
      <c r="BH11" s="1162" t="s">
        <v>861</v>
      </c>
      <c r="BI11" s="1162" t="s">
        <v>861</v>
      </c>
      <c r="BK11" s="1162" t="s">
        <v>829</v>
      </c>
      <c r="BL11" s="1162" t="s">
        <v>861</v>
      </c>
      <c r="BM11" s="1162" t="s">
        <v>861</v>
      </c>
      <c r="BN11" s="1162" t="s">
        <v>829</v>
      </c>
      <c r="BP11" s="1162" t="s">
        <v>829</v>
      </c>
      <c r="BQ11" s="1162" t="s">
        <v>829</v>
      </c>
      <c r="BR11" s="1162" t="s">
        <v>829</v>
      </c>
      <c r="BS11" s="1162" t="s">
        <v>861</v>
      </c>
      <c r="BT11" s="1162" t="s">
        <v>861</v>
      </c>
      <c r="BV11" s="1162" t="s">
        <v>829</v>
      </c>
      <c r="BW11" s="1162" t="s">
        <v>861</v>
      </c>
      <c r="BX11" s="1162" t="s">
        <v>861</v>
      </c>
      <c r="CA11" s="1162" t="s">
        <v>829</v>
      </c>
      <c r="CC11" s="1162" t="s">
        <v>861</v>
      </c>
      <c r="CD11" s="1162" t="s">
        <v>861</v>
      </c>
      <c r="CF11" s="1162" t="s">
        <v>829</v>
      </c>
      <c r="CG11" s="1162" t="s">
        <v>861</v>
      </c>
      <c r="CH11" s="1162" t="s">
        <v>861</v>
      </c>
      <c r="CK11" s="1162" t="s">
        <v>943</v>
      </c>
    </row>
    <row r="12" spans="1:90" x14ac:dyDescent="0.2">
      <c r="Y12" s="1162" t="s">
        <v>928</v>
      </c>
      <c r="Z12" s="1162" t="s">
        <v>929</v>
      </c>
      <c r="AA12" s="1162" t="s">
        <v>630</v>
      </c>
      <c r="BC12" s="1162" t="s">
        <v>830</v>
      </c>
      <c r="BE12" s="1162" t="s">
        <v>830</v>
      </c>
      <c r="BF12" s="1162" t="s">
        <v>830</v>
      </c>
      <c r="BG12" s="1162" t="s">
        <v>830</v>
      </c>
      <c r="BH12" s="1162" t="s">
        <v>862</v>
      </c>
      <c r="BI12" s="1162" t="s">
        <v>862</v>
      </c>
      <c r="BK12" s="1162" t="s">
        <v>830</v>
      </c>
      <c r="BL12" s="1162" t="s">
        <v>862</v>
      </c>
      <c r="BM12" s="1162" t="s">
        <v>862</v>
      </c>
      <c r="BN12" s="1162" t="s">
        <v>830</v>
      </c>
      <c r="BP12" s="1162" t="s">
        <v>830</v>
      </c>
      <c r="BQ12" s="1162" t="s">
        <v>830</v>
      </c>
      <c r="BR12" s="1162" t="s">
        <v>830</v>
      </c>
      <c r="BS12" s="1162" t="s">
        <v>862</v>
      </c>
      <c r="BT12" s="1162" t="s">
        <v>862</v>
      </c>
      <c r="BV12" s="1162" t="s">
        <v>830</v>
      </c>
      <c r="BW12" s="1162" t="s">
        <v>862</v>
      </c>
      <c r="BX12" s="1162" t="s">
        <v>862</v>
      </c>
      <c r="CA12" s="1162" t="s">
        <v>830</v>
      </c>
      <c r="CC12" s="1162" t="s">
        <v>862</v>
      </c>
      <c r="CD12" s="1162" t="s">
        <v>862</v>
      </c>
      <c r="CF12" s="1162" t="s">
        <v>830</v>
      </c>
      <c r="CG12" s="1162" t="s">
        <v>862</v>
      </c>
      <c r="CH12" s="1162" t="s">
        <v>862</v>
      </c>
      <c r="CK12" s="1162" t="s">
        <v>944</v>
      </c>
    </row>
    <row r="13" spans="1:90" x14ac:dyDescent="0.2">
      <c r="Y13" s="1162" t="s">
        <v>930</v>
      </c>
      <c r="Z13" s="1162" t="s">
        <v>931</v>
      </c>
      <c r="AA13" s="1162" t="s">
        <v>631</v>
      </c>
      <c r="BC13" s="1162" t="s">
        <v>831</v>
      </c>
      <c r="BE13" s="1162" t="s">
        <v>831</v>
      </c>
      <c r="BF13" s="1162" t="s">
        <v>831</v>
      </c>
      <c r="BG13" s="1162" t="s">
        <v>831</v>
      </c>
      <c r="BH13" s="1162" t="s">
        <v>863</v>
      </c>
      <c r="BI13" s="1162" t="s">
        <v>863</v>
      </c>
      <c r="BK13" s="1162" t="s">
        <v>831</v>
      </c>
      <c r="BL13" s="1162" t="s">
        <v>863</v>
      </c>
      <c r="BM13" s="1162" t="s">
        <v>863</v>
      </c>
      <c r="BN13" s="1162" t="s">
        <v>831</v>
      </c>
      <c r="BP13" s="1162" t="s">
        <v>831</v>
      </c>
      <c r="BQ13" s="1162" t="s">
        <v>831</v>
      </c>
      <c r="BR13" s="1162" t="s">
        <v>831</v>
      </c>
      <c r="BS13" s="1162" t="s">
        <v>863</v>
      </c>
      <c r="BT13" s="1162" t="s">
        <v>863</v>
      </c>
      <c r="BV13" s="1162" t="s">
        <v>831</v>
      </c>
      <c r="BW13" s="1162" t="s">
        <v>863</v>
      </c>
      <c r="BX13" s="1162" t="s">
        <v>863</v>
      </c>
      <c r="CA13" s="1162" t="s">
        <v>831</v>
      </c>
      <c r="CC13" s="1162" t="s">
        <v>863</v>
      </c>
      <c r="CD13" s="1162" t="s">
        <v>863</v>
      </c>
      <c r="CF13" s="1162" t="s">
        <v>831</v>
      </c>
      <c r="CG13" s="1162" t="s">
        <v>863</v>
      </c>
      <c r="CH13" s="1162" t="s">
        <v>863</v>
      </c>
      <c r="CK13" s="1162" t="s">
        <v>945</v>
      </c>
    </row>
    <row r="14" spans="1:90" x14ac:dyDescent="0.2">
      <c r="Y14" s="1162" t="s">
        <v>350</v>
      </c>
      <c r="Z14" s="1162" t="s">
        <v>932</v>
      </c>
      <c r="AA14" s="1162" t="s">
        <v>632</v>
      </c>
      <c r="BC14" s="1162" t="s">
        <v>832</v>
      </c>
      <c r="BE14" s="1162" t="s">
        <v>832</v>
      </c>
      <c r="BF14" s="1162" t="s">
        <v>832</v>
      </c>
      <c r="BG14" s="1162" t="s">
        <v>832</v>
      </c>
      <c r="BH14" s="1162" t="s">
        <v>864</v>
      </c>
      <c r="BI14" s="1162" t="s">
        <v>864</v>
      </c>
      <c r="BK14" s="1162" t="s">
        <v>832</v>
      </c>
      <c r="BL14" s="1162" t="s">
        <v>864</v>
      </c>
      <c r="BM14" s="1162" t="s">
        <v>864</v>
      </c>
      <c r="BN14" s="1162" t="s">
        <v>832</v>
      </c>
      <c r="BP14" s="1162" t="s">
        <v>832</v>
      </c>
      <c r="BQ14" s="1162" t="s">
        <v>832</v>
      </c>
      <c r="BR14" s="1162" t="s">
        <v>832</v>
      </c>
      <c r="BS14" s="1162" t="s">
        <v>864</v>
      </c>
      <c r="BT14" s="1162" t="s">
        <v>864</v>
      </c>
      <c r="BV14" s="1162" t="s">
        <v>832</v>
      </c>
      <c r="BW14" s="1162" t="s">
        <v>864</v>
      </c>
      <c r="BX14" s="1162" t="s">
        <v>864</v>
      </c>
      <c r="CA14" s="1162" t="s">
        <v>832</v>
      </c>
      <c r="CC14" s="1162" t="s">
        <v>864</v>
      </c>
      <c r="CD14" s="1162" t="s">
        <v>864</v>
      </c>
      <c r="CF14" s="1162" t="s">
        <v>832</v>
      </c>
      <c r="CG14" s="1162" t="s">
        <v>864</v>
      </c>
      <c r="CH14" s="1162" t="s">
        <v>864</v>
      </c>
      <c r="CK14" s="1162" t="s">
        <v>946</v>
      </c>
    </row>
    <row r="15" spans="1:90" x14ac:dyDescent="0.2">
      <c r="Y15" s="1162" t="s">
        <v>933</v>
      </c>
      <c r="Z15" s="1162" t="s">
        <v>934</v>
      </c>
      <c r="AA15" s="1162" t="s">
        <v>633</v>
      </c>
      <c r="BC15" s="1162" t="s">
        <v>833</v>
      </c>
      <c r="BE15" s="1162" t="s">
        <v>833</v>
      </c>
      <c r="BF15" s="1162" t="s">
        <v>833</v>
      </c>
      <c r="BG15" s="1162" t="s">
        <v>833</v>
      </c>
      <c r="BH15" s="1162" t="s">
        <v>865</v>
      </c>
      <c r="BI15" s="1162" t="s">
        <v>865</v>
      </c>
      <c r="BK15" s="1162" t="s">
        <v>833</v>
      </c>
      <c r="BL15" s="1162" t="s">
        <v>865</v>
      </c>
      <c r="BM15" s="1162" t="s">
        <v>865</v>
      </c>
      <c r="BN15" s="1162" t="s">
        <v>833</v>
      </c>
      <c r="BP15" s="1162" t="s">
        <v>833</v>
      </c>
      <c r="BQ15" s="1162" t="s">
        <v>833</v>
      </c>
      <c r="BR15" s="1162" t="s">
        <v>833</v>
      </c>
      <c r="BS15" s="1162" t="s">
        <v>865</v>
      </c>
      <c r="BT15" s="1162" t="s">
        <v>865</v>
      </c>
      <c r="BV15" s="1162" t="s">
        <v>833</v>
      </c>
      <c r="BW15" s="1162" t="s">
        <v>865</v>
      </c>
      <c r="BX15" s="1162" t="s">
        <v>865</v>
      </c>
      <c r="CA15" s="1162" t="s">
        <v>833</v>
      </c>
      <c r="CC15" s="1162" t="s">
        <v>865</v>
      </c>
      <c r="CD15" s="1162" t="s">
        <v>865</v>
      </c>
      <c r="CF15" s="1162" t="s">
        <v>833</v>
      </c>
      <c r="CG15" s="1162" t="s">
        <v>865</v>
      </c>
      <c r="CH15" s="1162" t="s">
        <v>865</v>
      </c>
      <c r="CK15" s="1162" t="s">
        <v>947</v>
      </c>
    </row>
    <row r="16" spans="1:90" x14ac:dyDescent="0.2">
      <c r="Y16" s="1162" t="s">
        <v>935</v>
      </c>
      <c r="Z16" s="1162" t="s">
        <v>935</v>
      </c>
      <c r="AA16" s="1162" t="s">
        <v>634</v>
      </c>
      <c r="BC16" s="1162" t="s">
        <v>834</v>
      </c>
      <c r="BE16" s="1162" t="s">
        <v>834</v>
      </c>
      <c r="BF16" s="1162" t="s">
        <v>834</v>
      </c>
      <c r="BG16" s="1162" t="s">
        <v>834</v>
      </c>
      <c r="BH16" s="1162" t="s">
        <v>866</v>
      </c>
      <c r="BI16" s="1162" t="s">
        <v>866</v>
      </c>
      <c r="BK16" s="1162" t="s">
        <v>834</v>
      </c>
      <c r="BL16" s="1162" t="s">
        <v>866</v>
      </c>
      <c r="BM16" s="1162" t="s">
        <v>866</v>
      </c>
      <c r="BN16" s="1162" t="s">
        <v>834</v>
      </c>
      <c r="BP16" s="1162" t="s">
        <v>834</v>
      </c>
      <c r="BQ16" s="1162" t="s">
        <v>834</v>
      </c>
      <c r="BR16" s="1162" t="s">
        <v>834</v>
      </c>
      <c r="BS16" s="1162" t="s">
        <v>866</v>
      </c>
      <c r="BT16" s="1162" t="s">
        <v>866</v>
      </c>
      <c r="BV16" s="1162" t="s">
        <v>834</v>
      </c>
      <c r="BW16" s="1162" t="s">
        <v>866</v>
      </c>
      <c r="BX16" s="1162" t="s">
        <v>866</v>
      </c>
      <c r="CA16" s="1162" t="s">
        <v>834</v>
      </c>
      <c r="CC16" s="1162" t="s">
        <v>866</v>
      </c>
      <c r="CD16" s="1162" t="s">
        <v>866</v>
      </c>
      <c r="CF16" s="1162" t="s">
        <v>834</v>
      </c>
      <c r="CG16" s="1162" t="s">
        <v>866</v>
      </c>
      <c r="CH16" s="1162" t="s">
        <v>866</v>
      </c>
      <c r="CK16" s="1162" t="s">
        <v>948</v>
      </c>
    </row>
    <row r="17" spans="27:89" x14ac:dyDescent="0.2">
      <c r="AA17" s="1162" t="s">
        <v>635</v>
      </c>
      <c r="BC17" s="1162" t="s">
        <v>835</v>
      </c>
      <c r="BE17" s="1162" t="s">
        <v>835</v>
      </c>
      <c r="BF17" s="1162" t="s">
        <v>835</v>
      </c>
      <c r="BG17" s="1162" t="s">
        <v>835</v>
      </c>
      <c r="BH17" s="1162" t="s">
        <v>867</v>
      </c>
      <c r="BI17" s="1162" t="s">
        <v>867</v>
      </c>
      <c r="BK17" s="1162" t="s">
        <v>835</v>
      </c>
      <c r="BL17" s="1162" t="s">
        <v>867</v>
      </c>
      <c r="BM17" s="1162" t="s">
        <v>867</v>
      </c>
      <c r="BN17" s="1162" t="s">
        <v>835</v>
      </c>
      <c r="BP17" s="1162" t="s">
        <v>835</v>
      </c>
      <c r="BQ17" s="1162" t="s">
        <v>835</v>
      </c>
      <c r="BR17" s="1162" t="s">
        <v>835</v>
      </c>
      <c r="BS17" s="1162" t="s">
        <v>867</v>
      </c>
      <c r="BT17" s="1162" t="s">
        <v>867</v>
      </c>
      <c r="BV17" s="1162" t="s">
        <v>835</v>
      </c>
      <c r="BW17" s="1162" t="s">
        <v>867</v>
      </c>
      <c r="BX17" s="1162" t="s">
        <v>867</v>
      </c>
      <c r="CA17" s="1162" t="s">
        <v>835</v>
      </c>
      <c r="CC17" s="1162" t="s">
        <v>867</v>
      </c>
      <c r="CD17" s="1162" t="s">
        <v>867</v>
      </c>
      <c r="CF17" s="1162" t="s">
        <v>835</v>
      </c>
      <c r="CG17" s="1162" t="s">
        <v>867</v>
      </c>
      <c r="CH17" s="1162" t="s">
        <v>867</v>
      </c>
      <c r="CK17" s="1162" t="s">
        <v>949</v>
      </c>
    </row>
    <row r="18" spans="27:89" x14ac:dyDescent="0.2">
      <c r="AA18" s="1162" t="s">
        <v>636</v>
      </c>
      <c r="BC18" s="1162" t="s">
        <v>836</v>
      </c>
      <c r="BE18" s="1162" t="s">
        <v>836</v>
      </c>
      <c r="BF18" s="1162" t="s">
        <v>836</v>
      </c>
      <c r="BG18" s="1162" t="s">
        <v>836</v>
      </c>
      <c r="BH18" s="1162" t="s">
        <v>868</v>
      </c>
      <c r="BI18" s="1162" t="s">
        <v>868</v>
      </c>
      <c r="BK18" s="1162" t="s">
        <v>836</v>
      </c>
      <c r="BL18" s="1162" t="s">
        <v>868</v>
      </c>
      <c r="BM18" s="1162" t="s">
        <v>868</v>
      </c>
      <c r="BN18" s="1162" t="s">
        <v>836</v>
      </c>
      <c r="BP18" s="1162" t="s">
        <v>836</v>
      </c>
      <c r="BQ18" s="1162" t="s">
        <v>836</v>
      </c>
      <c r="BR18" s="1162" t="s">
        <v>836</v>
      </c>
      <c r="BS18" s="1162" t="s">
        <v>868</v>
      </c>
      <c r="BT18" s="1162" t="s">
        <v>868</v>
      </c>
      <c r="BV18" s="1162" t="s">
        <v>836</v>
      </c>
      <c r="BW18" s="1162" t="s">
        <v>868</v>
      </c>
      <c r="BX18" s="1162" t="s">
        <v>868</v>
      </c>
      <c r="CA18" s="1162" t="s">
        <v>836</v>
      </c>
      <c r="CC18" s="1162" t="s">
        <v>868</v>
      </c>
      <c r="CD18" s="1162" t="s">
        <v>868</v>
      </c>
      <c r="CF18" s="1162" t="s">
        <v>836</v>
      </c>
      <c r="CG18" s="1162" t="s">
        <v>868</v>
      </c>
      <c r="CH18" s="1162" t="s">
        <v>868</v>
      </c>
      <c r="CK18" s="1162" t="s">
        <v>950</v>
      </c>
    </row>
    <row r="19" spans="27:89" x14ac:dyDescent="0.2">
      <c r="AA19" s="1162" t="s">
        <v>637</v>
      </c>
      <c r="BC19" s="1162" t="s">
        <v>837</v>
      </c>
      <c r="BE19" s="1162" t="s">
        <v>837</v>
      </c>
      <c r="BF19" s="1162" t="s">
        <v>837</v>
      </c>
      <c r="BG19" s="1162" t="s">
        <v>837</v>
      </c>
      <c r="BH19" s="1162" t="s">
        <v>869</v>
      </c>
      <c r="BI19" s="1162" t="s">
        <v>869</v>
      </c>
      <c r="BK19" s="1162" t="s">
        <v>837</v>
      </c>
      <c r="BL19" s="1162" t="s">
        <v>869</v>
      </c>
      <c r="BM19" s="1162" t="s">
        <v>869</v>
      </c>
      <c r="BN19" s="1162" t="s">
        <v>837</v>
      </c>
      <c r="BP19" s="1162" t="s">
        <v>837</v>
      </c>
      <c r="BQ19" s="1162" t="s">
        <v>837</v>
      </c>
      <c r="BR19" s="1162" t="s">
        <v>837</v>
      </c>
      <c r="BS19" s="1162" t="s">
        <v>869</v>
      </c>
      <c r="BT19" s="1162" t="s">
        <v>869</v>
      </c>
      <c r="BV19" s="1162" t="s">
        <v>837</v>
      </c>
      <c r="BW19" s="1162" t="s">
        <v>869</v>
      </c>
      <c r="BX19" s="1162" t="s">
        <v>869</v>
      </c>
      <c r="CA19" s="1162" t="s">
        <v>837</v>
      </c>
      <c r="CC19" s="1162" t="s">
        <v>869</v>
      </c>
      <c r="CD19" s="1162" t="s">
        <v>869</v>
      </c>
      <c r="CF19" s="1162" t="s">
        <v>837</v>
      </c>
      <c r="CG19" s="1162" t="s">
        <v>869</v>
      </c>
      <c r="CH19" s="1162" t="s">
        <v>869</v>
      </c>
      <c r="CK19" s="1162" t="s">
        <v>951</v>
      </c>
    </row>
    <row r="20" spans="27:89" x14ac:dyDescent="0.2">
      <c r="AA20" s="1162" t="s">
        <v>638</v>
      </c>
      <c r="BC20" s="1162" t="s">
        <v>838</v>
      </c>
      <c r="BE20" s="1162" t="s">
        <v>838</v>
      </c>
      <c r="BF20" s="1162" t="s">
        <v>838</v>
      </c>
      <c r="BG20" s="1162" t="s">
        <v>838</v>
      </c>
      <c r="BH20" s="1162" t="s">
        <v>870</v>
      </c>
      <c r="BI20" s="1162" t="s">
        <v>870</v>
      </c>
      <c r="BK20" s="1162" t="s">
        <v>838</v>
      </c>
      <c r="BL20" s="1162" t="s">
        <v>870</v>
      </c>
      <c r="BM20" s="1162" t="s">
        <v>870</v>
      </c>
      <c r="BN20" s="1162" t="s">
        <v>838</v>
      </c>
      <c r="BP20" s="1162" t="s">
        <v>838</v>
      </c>
      <c r="BQ20" s="1162" t="s">
        <v>838</v>
      </c>
      <c r="BR20" s="1162" t="s">
        <v>838</v>
      </c>
      <c r="BS20" s="1162" t="s">
        <v>870</v>
      </c>
      <c r="BT20" s="1162" t="s">
        <v>870</v>
      </c>
      <c r="BV20" s="1162" t="s">
        <v>838</v>
      </c>
      <c r="BW20" s="1162" t="s">
        <v>870</v>
      </c>
      <c r="BX20" s="1162" t="s">
        <v>870</v>
      </c>
      <c r="CA20" s="1162" t="s">
        <v>838</v>
      </c>
      <c r="CC20" s="1162" t="s">
        <v>870</v>
      </c>
      <c r="CD20" s="1162" t="s">
        <v>870</v>
      </c>
      <c r="CF20" s="1162" t="s">
        <v>838</v>
      </c>
      <c r="CG20" s="1162" t="s">
        <v>870</v>
      </c>
      <c r="CH20" s="1162" t="s">
        <v>870</v>
      </c>
      <c r="CK20" s="1162" t="s">
        <v>952</v>
      </c>
    </row>
    <row r="21" spans="27:89" x14ac:dyDescent="0.2">
      <c r="AA21" s="1162" t="s">
        <v>639</v>
      </c>
      <c r="BC21" s="1162" t="s">
        <v>839</v>
      </c>
      <c r="BE21" s="1162" t="s">
        <v>839</v>
      </c>
      <c r="BF21" s="1162" t="s">
        <v>839</v>
      </c>
      <c r="BG21" s="1162" t="s">
        <v>839</v>
      </c>
      <c r="BH21" s="1162" t="s">
        <v>871</v>
      </c>
      <c r="BI21" s="1162" t="s">
        <v>871</v>
      </c>
      <c r="BK21" s="1162" t="s">
        <v>839</v>
      </c>
      <c r="BL21" s="1162" t="s">
        <v>871</v>
      </c>
      <c r="BM21" s="1162" t="s">
        <v>871</v>
      </c>
      <c r="BN21" s="1162" t="s">
        <v>839</v>
      </c>
      <c r="BP21" s="1162" t="s">
        <v>839</v>
      </c>
      <c r="BQ21" s="1162" t="s">
        <v>839</v>
      </c>
      <c r="BR21" s="1162" t="s">
        <v>839</v>
      </c>
      <c r="BS21" s="1162" t="s">
        <v>871</v>
      </c>
      <c r="BT21" s="1162" t="s">
        <v>871</v>
      </c>
      <c r="BV21" s="1162" t="s">
        <v>839</v>
      </c>
      <c r="BW21" s="1162" t="s">
        <v>871</v>
      </c>
      <c r="BX21" s="1162" t="s">
        <v>871</v>
      </c>
      <c r="CA21" s="1162" t="s">
        <v>839</v>
      </c>
      <c r="CC21" s="1162" t="s">
        <v>871</v>
      </c>
      <c r="CD21" s="1162" t="s">
        <v>871</v>
      </c>
      <c r="CF21" s="1162" t="s">
        <v>839</v>
      </c>
      <c r="CG21" s="1162" t="s">
        <v>871</v>
      </c>
      <c r="CH21" s="1162" t="s">
        <v>871</v>
      </c>
      <c r="CK21" s="1162" t="s">
        <v>953</v>
      </c>
    </row>
    <row r="22" spans="27:89" x14ac:dyDescent="0.2">
      <c r="AA22" s="1162" t="s">
        <v>640</v>
      </c>
      <c r="BC22" s="1162" t="s">
        <v>840</v>
      </c>
      <c r="BE22" s="1162" t="s">
        <v>840</v>
      </c>
      <c r="BF22" s="1162" t="s">
        <v>840</v>
      </c>
      <c r="BG22" s="1162" t="s">
        <v>840</v>
      </c>
      <c r="BH22" s="1162" t="s">
        <v>872</v>
      </c>
      <c r="BI22" s="1162" t="s">
        <v>872</v>
      </c>
      <c r="BK22" s="1162" t="s">
        <v>840</v>
      </c>
      <c r="BL22" s="1162" t="s">
        <v>872</v>
      </c>
      <c r="BM22" s="1162" t="s">
        <v>872</v>
      </c>
      <c r="BN22" s="1162" t="s">
        <v>840</v>
      </c>
      <c r="BP22" s="1162" t="s">
        <v>840</v>
      </c>
      <c r="BQ22" s="1162" t="s">
        <v>840</v>
      </c>
      <c r="BR22" s="1162" t="s">
        <v>840</v>
      </c>
      <c r="BS22" s="1162" t="s">
        <v>872</v>
      </c>
      <c r="BT22" s="1162" t="s">
        <v>872</v>
      </c>
      <c r="BV22" s="1162" t="s">
        <v>840</v>
      </c>
      <c r="BW22" s="1162" t="s">
        <v>872</v>
      </c>
      <c r="BX22" s="1162" t="s">
        <v>872</v>
      </c>
      <c r="CA22" s="1162" t="s">
        <v>840</v>
      </c>
      <c r="CC22" s="1162" t="s">
        <v>872</v>
      </c>
      <c r="CD22" s="1162" t="s">
        <v>872</v>
      </c>
      <c r="CF22" s="1162" t="s">
        <v>840</v>
      </c>
      <c r="CG22" s="1162" t="s">
        <v>872</v>
      </c>
      <c r="CH22" s="1162" t="s">
        <v>872</v>
      </c>
      <c r="CK22" s="1162" t="s">
        <v>954</v>
      </c>
    </row>
    <row r="23" spans="27:89" x14ac:dyDescent="0.2">
      <c r="AA23" s="1162" t="s">
        <v>641</v>
      </c>
      <c r="BC23" s="1162" t="s">
        <v>841</v>
      </c>
      <c r="BE23" s="1162" t="s">
        <v>841</v>
      </c>
      <c r="BF23" s="1162" t="s">
        <v>841</v>
      </c>
      <c r="BG23" s="1162" t="s">
        <v>841</v>
      </c>
      <c r="BH23" s="1162" t="s">
        <v>873</v>
      </c>
      <c r="BI23" s="1162" t="s">
        <v>873</v>
      </c>
      <c r="BK23" s="1162" t="s">
        <v>841</v>
      </c>
      <c r="BL23" s="1162" t="s">
        <v>873</v>
      </c>
      <c r="BM23" s="1162" t="s">
        <v>873</v>
      </c>
      <c r="BN23" s="1162" t="s">
        <v>841</v>
      </c>
      <c r="BP23" s="1162" t="s">
        <v>841</v>
      </c>
      <c r="BQ23" s="1162" t="s">
        <v>841</v>
      </c>
      <c r="BR23" s="1162" t="s">
        <v>841</v>
      </c>
      <c r="BS23" s="1162" t="s">
        <v>873</v>
      </c>
      <c r="BT23" s="1162" t="s">
        <v>873</v>
      </c>
      <c r="BV23" s="1162" t="s">
        <v>841</v>
      </c>
      <c r="BW23" s="1162" t="s">
        <v>873</v>
      </c>
      <c r="BX23" s="1162" t="s">
        <v>873</v>
      </c>
      <c r="CA23" s="1162" t="s">
        <v>841</v>
      </c>
      <c r="CC23" s="1162" t="s">
        <v>873</v>
      </c>
      <c r="CD23" s="1162" t="s">
        <v>873</v>
      </c>
      <c r="CF23" s="1162" t="s">
        <v>841</v>
      </c>
      <c r="CG23" s="1162" t="s">
        <v>873</v>
      </c>
      <c r="CH23" s="1162" t="s">
        <v>873</v>
      </c>
      <c r="CK23" s="1162" t="s">
        <v>955</v>
      </c>
    </row>
    <row r="24" spans="27:89" x14ac:dyDescent="0.2">
      <c r="AA24" s="1162" t="s">
        <v>642</v>
      </c>
      <c r="BC24" s="1162" t="s">
        <v>842</v>
      </c>
      <c r="BE24" s="1162" t="s">
        <v>842</v>
      </c>
      <c r="BF24" s="1162" t="s">
        <v>842</v>
      </c>
      <c r="BG24" s="1162" t="s">
        <v>842</v>
      </c>
      <c r="BH24" s="1162" t="s">
        <v>874</v>
      </c>
      <c r="BI24" s="1162" t="s">
        <v>874</v>
      </c>
      <c r="BK24" s="1162" t="s">
        <v>842</v>
      </c>
      <c r="BL24" s="1162" t="s">
        <v>874</v>
      </c>
      <c r="BM24" s="1162" t="s">
        <v>874</v>
      </c>
      <c r="BN24" s="1162" t="s">
        <v>842</v>
      </c>
      <c r="BP24" s="1162" t="s">
        <v>842</v>
      </c>
      <c r="BQ24" s="1162" t="s">
        <v>842</v>
      </c>
      <c r="BR24" s="1162" t="s">
        <v>842</v>
      </c>
      <c r="BS24" s="1162" t="s">
        <v>874</v>
      </c>
      <c r="BT24" s="1162" t="s">
        <v>874</v>
      </c>
      <c r="BV24" s="1162" t="s">
        <v>842</v>
      </c>
      <c r="BW24" s="1162" t="s">
        <v>874</v>
      </c>
      <c r="BX24" s="1162" t="s">
        <v>874</v>
      </c>
      <c r="CA24" s="1162" t="s">
        <v>842</v>
      </c>
      <c r="CC24" s="1162" t="s">
        <v>874</v>
      </c>
      <c r="CD24" s="1162" t="s">
        <v>874</v>
      </c>
      <c r="CF24" s="1162" t="s">
        <v>842</v>
      </c>
      <c r="CG24" s="1162" t="s">
        <v>874</v>
      </c>
      <c r="CH24" s="1162" t="s">
        <v>874</v>
      </c>
      <c r="CK24" s="1162" t="s">
        <v>956</v>
      </c>
    </row>
    <row r="25" spans="27:89" x14ac:dyDescent="0.2">
      <c r="AA25" s="1162" t="s">
        <v>643</v>
      </c>
      <c r="BC25" s="1162" t="s">
        <v>843</v>
      </c>
      <c r="BE25" s="1162" t="s">
        <v>843</v>
      </c>
      <c r="BF25" s="1162" t="s">
        <v>843</v>
      </c>
      <c r="BG25" s="1162" t="s">
        <v>843</v>
      </c>
      <c r="BH25" s="1162" t="s">
        <v>875</v>
      </c>
      <c r="BI25" s="1162" t="s">
        <v>875</v>
      </c>
      <c r="BK25" s="1162" t="s">
        <v>843</v>
      </c>
      <c r="BL25" s="1162" t="s">
        <v>875</v>
      </c>
      <c r="BM25" s="1162" t="s">
        <v>875</v>
      </c>
      <c r="BN25" s="1162" t="s">
        <v>843</v>
      </c>
      <c r="BP25" s="1162" t="s">
        <v>843</v>
      </c>
      <c r="BQ25" s="1162" t="s">
        <v>843</v>
      </c>
      <c r="BR25" s="1162" t="s">
        <v>843</v>
      </c>
      <c r="BS25" s="1162" t="s">
        <v>875</v>
      </c>
      <c r="BT25" s="1162" t="s">
        <v>875</v>
      </c>
      <c r="BV25" s="1162" t="s">
        <v>843</v>
      </c>
      <c r="BW25" s="1162" t="s">
        <v>875</v>
      </c>
      <c r="BX25" s="1162" t="s">
        <v>875</v>
      </c>
      <c r="CA25" s="1162" t="s">
        <v>843</v>
      </c>
      <c r="CC25" s="1162" t="s">
        <v>875</v>
      </c>
      <c r="CD25" s="1162" t="s">
        <v>875</v>
      </c>
      <c r="CF25" s="1162" t="s">
        <v>843</v>
      </c>
      <c r="CG25" s="1162" t="s">
        <v>875</v>
      </c>
      <c r="CH25" s="1162" t="s">
        <v>875</v>
      </c>
    </row>
    <row r="26" spans="27:89" x14ac:dyDescent="0.2">
      <c r="AA26" s="1162" t="s">
        <v>644</v>
      </c>
      <c r="BH26" s="1162" t="s">
        <v>876</v>
      </c>
      <c r="BI26" s="1162" t="s">
        <v>876</v>
      </c>
      <c r="BL26" s="1162" t="s">
        <v>876</v>
      </c>
      <c r="BM26" s="1162" t="s">
        <v>876</v>
      </c>
      <c r="BS26" s="1162" t="s">
        <v>876</v>
      </c>
      <c r="BT26" s="1162" t="s">
        <v>876</v>
      </c>
      <c r="BW26" s="1162" t="s">
        <v>876</v>
      </c>
      <c r="BX26" s="1162" t="s">
        <v>876</v>
      </c>
      <c r="CC26" s="1162" t="s">
        <v>876</v>
      </c>
      <c r="CD26" s="1162" t="s">
        <v>876</v>
      </c>
      <c r="CG26" s="1162" t="s">
        <v>876</v>
      </c>
      <c r="CH26" s="1162" t="s">
        <v>876</v>
      </c>
    </row>
    <row r="27" spans="27:89" x14ac:dyDescent="0.2">
      <c r="AA27" s="1162" t="s">
        <v>645</v>
      </c>
      <c r="BH27" s="1162" t="s">
        <v>877</v>
      </c>
      <c r="BI27" s="1162" t="s">
        <v>877</v>
      </c>
      <c r="BL27" s="1162" t="s">
        <v>877</v>
      </c>
      <c r="BM27" s="1162" t="s">
        <v>877</v>
      </c>
      <c r="BS27" s="1162" t="s">
        <v>877</v>
      </c>
      <c r="BT27" s="1162" t="s">
        <v>877</v>
      </c>
      <c r="BW27" s="1162" t="s">
        <v>877</v>
      </c>
      <c r="BX27" s="1162" t="s">
        <v>877</v>
      </c>
      <c r="CC27" s="1162" t="s">
        <v>877</v>
      </c>
      <c r="CD27" s="1162" t="s">
        <v>877</v>
      </c>
      <c r="CG27" s="1162" t="s">
        <v>877</v>
      </c>
      <c r="CH27" s="1162" t="s">
        <v>877</v>
      </c>
    </row>
    <row r="28" spans="27:89" x14ac:dyDescent="0.2">
      <c r="AA28" s="1162" t="s">
        <v>646</v>
      </c>
      <c r="BH28" s="1162" t="s">
        <v>878</v>
      </c>
      <c r="BI28" s="1162" t="s">
        <v>878</v>
      </c>
      <c r="BL28" s="1162" t="s">
        <v>878</v>
      </c>
      <c r="BM28" s="1162" t="s">
        <v>878</v>
      </c>
      <c r="BS28" s="1162" t="s">
        <v>878</v>
      </c>
      <c r="BT28" s="1162" t="s">
        <v>878</v>
      </c>
      <c r="BW28" s="1162" t="s">
        <v>878</v>
      </c>
      <c r="BX28" s="1162" t="s">
        <v>878</v>
      </c>
      <c r="CC28" s="1162" t="s">
        <v>878</v>
      </c>
      <c r="CD28" s="1162" t="s">
        <v>878</v>
      </c>
      <c r="CG28" s="1162" t="s">
        <v>878</v>
      </c>
      <c r="CH28" s="1162" t="s">
        <v>878</v>
      </c>
    </row>
    <row r="29" spans="27:89" x14ac:dyDescent="0.2">
      <c r="AA29" s="1162" t="s">
        <v>647</v>
      </c>
      <c r="BH29" s="1162" t="s">
        <v>879</v>
      </c>
      <c r="BI29" s="1162" t="s">
        <v>879</v>
      </c>
      <c r="BL29" s="1162" t="s">
        <v>879</v>
      </c>
      <c r="BM29" s="1162" t="s">
        <v>879</v>
      </c>
      <c r="BS29" s="1162" t="s">
        <v>879</v>
      </c>
      <c r="BT29" s="1162" t="s">
        <v>879</v>
      </c>
      <c r="BW29" s="1162" t="s">
        <v>879</v>
      </c>
      <c r="BX29" s="1162" t="s">
        <v>879</v>
      </c>
      <c r="CC29" s="1162" t="s">
        <v>879</v>
      </c>
      <c r="CD29" s="1162" t="s">
        <v>879</v>
      </c>
      <c r="CG29" s="1162" t="s">
        <v>879</v>
      </c>
      <c r="CH29" s="1162" t="s">
        <v>879</v>
      </c>
    </row>
    <row r="30" spans="27:89" x14ac:dyDescent="0.2">
      <c r="AA30" s="1162" t="s">
        <v>648</v>
      </c>
      <c r="BH30" s="1162" t="s">
        <v>880</v>
      </c>
      <c r="BI30" s="1162" t="s">
        <v>880</v>
      </c>
      <c r="BL30" s="1162" t="s">
        <v>880</v>
      </c>
      <c r="BM30" s="1162" t="s">
        <v>880</v>
      </c>
      <c r="BS30" s="1162" t="s">
        <v>880</v>
      </c>
      <c r="BT30" s="1162" t="s">
        <v>880</v>
      </c>
      <c r="BW30" s="1162" t="s">
        <v>880</v>
      </c>
      <c r="BX30" s="1162" t="s">
        <v>880</v>
      </c>
      <c r="CC30" s="1162" t="s">
        <v>880</v>
      </c>
      <c r="CD30" s="1162" t="s">
        <v>880</v>
      </c>
      <c r="CG30" s="1162" t="s">
        <v>880</v>
      </c>
      <c r="CH30" s="1162" t="s">
        <v>880</v>
      </c>
    </row>
    <row r="31" spans="27:89" x14ac:dyDescent="0.2">
      <c r="AA31" s="1162" t="s">
        <v>649</v>
      </c>
      <c r="BH31" s="1162" t="s">
        <v>881</v>
      </c>
      <c r="BI31" s="1162" t="s">
        <v>881</v>
      </c>
      <c r="BL31" s="1162" t="s">
        <v>881</v>
      </c>
      <c r="BM31" s="1162" t="s">
        <v>881</v>
      </c>
      <c r="BS31" s="1162" t="s">
        <v>881</v>
      </c>
      <c r="BT31" s="1162" t="s">
        <v>881</v>
      </c>
      <c r="BW31" s="1162" t="s">
        <v>881</v>
      </c>
      <c r="BX31" s="1162" t="s">
        <v>881</v>
      </c>
      <c r="CC31" s="1162" t="s">
        <v>881</v>
      </c>
      <c r="CD31" s="1162" t="s">
        <v>881</v>
      </c>
      <c r="CG31" s="1162" t="s">
        <v>881</v>
      </c>
      <c r="CH31" s="1162" t="s">
        <v>881</v>
      </c>
    </row>
    <row r="32" spans="27:89" x14ac:dyDescent="0.2">
      <c r="AA32" s="1162" t="s">
        <v>650</v>
      </c>
      <c r="BH32" s="1162" t="s">
        <v>882</v>
      </c>
      <c r="BI32" s="1162" t="s">
        <v>882</v>
      </c>
      <c r="BL32" s="1162" t="s">
        <v>882</v>
      </c>
      <c r="BM32" s="1162" t="s">
        <v>882</v>
      </c>
      <c r="BS32" s="1162" t="s">
        <v>882</v>
      </c>
      <c r="BT32" s="1162" t="s">
        <v>882</v>
      </c>
      <c r="BW32" s="1162" t="s">
        <v>882</v>
      </c>
      <c r="BX32" s="1162" t="s">
        <v>882</v>
      </c>
      <c r="CC32" s="1162" t="s">
        <v>882</v>
      </c>
      <c r="CD32" s="1162" t="s">
        <v>882</v>
      </c>
      <c r="CG32" s="1162" t="s">
        <v>882</v>
      </c>
      <c r="CH32" s="1162" t="s">
        <v>882</v>
      </c>
    </row>
    <row r="33" spans="27:27" x14ac:dyDescent="0.2">
      <c r="AA33" s="1162" t="s">
        <v>651</v>
      </c>
    </row>
    <row r="34" spans="27:27" x14ac:dyDescent="0.2">
      <c r="AA34" s="1162" t="s">
        <v>652</v>
      </c>
    </row>
    <row r="35" spans="27:27" x14ac:dyDescent="0.2">
      <c r="AA35" s="1162" t="s">
        <v>653</v>
      </c>
    </row>
    <row r="36" spans="27:27" x14ac:dyDescent="0.2">
      <c r="AA36" s="1162" t="s">
        <v>654</v>
      </c>
    </row>
    <row r="37" spans="27:27" x14ac:dyDescent="0.2">
      <c r="AA37" s="1162" t="s">
        <v>655</v>
      </c>
    </row>
    <row r="38" spans="27:27" x14ac:dyDescent="0.2">
      <c r="AA38" s="1162" t="s">
        <v>656</v>
      </c>
    </row>
    <row r="39" spans="27:27" x14ac:dyDescent="0.2">
      <c r="AA39" s="1162" t="s">
        <v>657</v>
      </c>
    </row>
    <row r="40" spans="27:27" x14ac:dyDescent="0.2">
      <c r="AA40" s="1162" t="s">
        <v>658</v>
      </c>
    </row>
    <row r="41" spans="27:27" x14ac:dyDescent="0.2">
      <c r="AA41" s="1162" t="s">
        <v>659</v>
      </c>
    </row>
    <row r="42" spans="27:27" x14ac:dyDescent="0.2">
      <c r="AA42" s="1162" t="s">
        <v>660</v>
      </c>
    </row>
    <row r="43" spans="27:27" x14ac:dyDescent="0.2">
      <c r="AA43" s="1162" t="s">
        <v>661</v>
      </c>
    </row>
    <row r="44" spans="27:27" x14ac:dyDescent="0.2">
      <c r="AA44" s="1162" t="s">
        <v>662</v>
      </c>
    </row>
    <row r="45" spans="27:27" x14ac:dyDescent="0.2">
      <c r="AA45" s="1162" t="s">
        <v>663</v>
      </c>
    </row>
    <row r="46" spans="27:27" x14ac:dyDescent="0.2">
      <c r="AA46" s="1162" t="s">
        <v>664</v>
      </c>
    </row>
    <row r="47" spans="27:27" x14ac:dyDescent="0.2">
      <c r="AA47" s="1162" t="s">
        <v>665</v>
      </c>
    </row>
    <row r="48" spans="27:27" x14ac:dyDescent="0.2">
      <c r="AA48" s="1162" t="s">
        <v>666</v>
      </c>
    </row>
    <row r="49" spans="27:27" x14ac:dyDescent="0.2">
      <c r="AA49" s="1162" t="s">
        <v>667</v>
      </c>
    </row>
    <row r="50" spans="27:27" x14ac:dyDescent="0.2">
      <c r="AA50" s="1162" t="s">
        <v>668</v>
      </c>
    </row>
    <row r="51" spans="27:27" x14ac:dyDescent="0.2">
      <c r="AA51" s="1162" t="s">
        <v>669</v>
      </c>
    </row>
    <row r="52" spans="27:27" x14ac:dyDescent="0.2">
      <c r="AA52" s="1162" t="s">
        <v>670</v>
      </c>
    </row>
    <row r="53" spans="27:27" x14ac:dyDescent="0.2">
      <c r="AA53" s="1162" t="s">
        <v>671</v>
      </c>
    </row>
    <row r="54" spans="27:27" x14ac:dyDescent="0.2">
      <c r="AA54" s="1162" t="s">
        <v>672</v>
      </c>
    </row>
    <row r="55" spans="27:27" x14ac:dyDescent="0.2">
      <c r="AA55" s="1162" t="s">
        <v>673</v>
      </c>
    </row>
    <row r="56" spans="27:27" x14ac:dyDescent="0.2">
      <c r="AA56" s="1162" t="s">
        <v>674</v>
      </c>
    </row>
    <row r="57" spans="27:27" x14ac:dyDescent="0.2">
      <c r="AA57" s="1162" t="s">
        <v>675</v>
      </c>
    </row>
    <row r="58" spans="27:27" x14ac:dyDescent="0.2">
      <c r="AA58" s="1162" t="s">
        <v>676</v>
      </c>
    </row>
    <row r="59" spans="27:27" x14ac:dyDescent="0.2">
      <c r="AA59" s="1162" t="s">
        <v>677</v>
      </c>
    </row>
    <row r="60" spans="27:27" x14ac:dyDescent="0.2">
      <c r="AA60" s="1162" t="s">
        <v>678</v>
      </c>
    </row>
    <row r="61" spans="27:27" x14ac:dyDescent="0.2">
      <c r="AA61" s="1162" t="s">
        <v>679</v>
      </c>
    </row>
    <row r="62" spans="27:27" x14ac:dyDescent="0.2">
      <c r="AA62" s="1162" t="s">
        <v>680</v>
      </c>
    </row>
    <row r="63" spans="27:27" x14ac:dyDescent="0.2">
      <c r="AA63" s="1162" t="s">
        <v>681</v>
      </c>
    </row>
    <row r="64" spans="27:27" x14ac:dyDescent="0.2">
      <c r="AA64" s="1162" t="s">
        <v>682</v>
      </c>
    </row>
    <row r="65" spans="27:27" x14ac:dyDescent="0.2">
      <c r="AA65" s="1162" t="s">
        <v>683</v>
      </c>
    </row>
    <row r="66" spans="27:27" x14ac:dyDescent="0.2">
      <c r="AA66" s="1162" t="s">
        <v>684</v>
      </c>
    </row>
    <row r="67" spans="27:27" x14ac:dyDescent="0.2">
      <c r="AA67" s="1162" t="s">
        <v>685</v>
      </c>
    </row>
    <row r="68" spans="27:27" x14ac:dyDescent="0.2">
      <c r="AA68" s="1162" t="s">
        <v>686</v>
      </c>
    </row>
    <row r="69" spans="27:27" x14ac:dyDescent="0.2">
      <c r="AA69" s="1162" t="s">
        <v>687</v>
      </c>
    </row>
    <row r="70" spans="27:27" x14ac:dyDescent="0.2">
      <c r="AA70" s="1162" t="s">
        <v>688</v>
      </c>
    </row>
    <row r="71" spans="27:27" x14ac:dyDescent="0.2">
      <c r="AA71" s="1162" t="s">
        <v>689</v>
      </c>
    </row>
    <row r="72" spans="27:27" x14ac:dyDescent="0.2">
      <c r="AA72" s="1162" t="s">
        <v>690</v>
      </c>
    </row>
    <row r="73" spans="27:27" x14ac:dyDescent="0.2">
      <c r="AA73" s="1162" t="s">
        <v>691</v>
      </c>
    </row>
    <row r="74" spans="27:27" x14ac:dyDescent="0.2">
      <c r="AA74" s="1162" t="s">
        <v>692</v>
      </c>
    </row>
    <row r="75" spans="27:27" x14ac:dyDescent="0.2">
      <c r="AA75" s="1162" t="s">
        <v>693</v>
      </c>
    </row>
    <row r="76" spans="27:27" x14ac:dyDescent="0.2">
      <c r="AA76" s="1162" t="s">
        <v>694</v>
      </c>
    </row>
    <row r="77" spans="27:27" x14ac:dyDescent="0.2">
      <c r="AA77" s="1162" t="s">
        <v>695</v>
      </c>
    </row>
    <row r="78" spans="27:27" x14ac:dyDescent="0.2">
      <c r="AA78" s="1162" t="s">
        <v>696</v>
      </c>
    </row>
    <row r="79" spans="27:27" x14ac:dyDescent="0.2">
      <c r="AA79" s="1162" t="s">
        <v>697</v>
      </c>
    </row>
    <row r="80" spans="27:27" x14ac:dyDescent="0.2">
      <c r="AA80" s="1162" t="s">
        <v>698</v>
      </c>
    </row>
    <row r="81" spans="27:27" x14ac:dyDescent="0.2">
      <c r="AA81" s="1162" t="s">
        <v>699</v>
      </c>
    </row>
    <row r="82" spans="27:27" x14ac:dyDescent="0.2">
      <c r="AA82" s="1162" t="s">
        <v>700</v>
      </c>
    </row>
    <row r="83" spans="27:27" x14ac:dyDescent="0.2">
      <c r="AA83" s="1162" t="s">
        <v>701</v>
      </c>
    </row>
    <row r="84" spans="27:27" x14ac:dyDescent="0.2">
      <c r="AA84" s="1162" t="s">
        <v>702</v>
      </c>
    </row>
    <row r="85" spans="27:27" x14ac:dyDescent="0.2">
      <c r="AA85" s="1162" t="s">
        <v>703</v>
      </c>
    </row>
    <row r="86" spans="27:27" x14ac:dyDescent="0.2">
      <c r="AA86" s="1162" t="s">
        <v>704</v>
      </c>
    </row>
    <row r="87" spans="27:27" x14ac:dyDescent="0.2">
      <c r="AA87" s="1162" t="s">
        <v>705</v>
      </c>
    </row>
    <row r="88" spans="27:27" x14ac:dyDescent="0.2">
      <c r="AA88" s="1162" t="s">
        <v>706</v>
      </c>
    </row>
    <row r="89" spans="27:27" x14ac:dyDescent="0.2">
      <c r="AA89" s="1162" t="s">
        <v>707</v>
      </c>
    </row>
    <row r="90" spans="27:27" x14ac:dyDescent="0.2">
      <c r="AA90" s="1162" t="s">
        <v>708</v>
      </c>
    </row>
    <row r="91" spans="27:27" x14ac:dyDescent="0.2">
      <c r="AA91" s="1162" t="s">
        <v>709</v>
      </c>
    </row>
    <row r="92" spans="27:27" x14ac:dyDescent="0.2">
      <c r="AA92" s="1162" t="s">
        <v>710</v>
      </c>
    </row>
    <row r="93" spans="27:27" x14ac:dyDescent="0.2">
      <c r="AA93" s="1162" t="s">
        <v>711</v>
      </c>
    </row>
    <row r="94" spans="27:27" x14ac:dyDescent="0.2">
      <c r="AA94" s="1162" t="s">
        <v>712</v>
      </c>
    </row>
    <row r="95" spans="27:27" x14ac:dyDescent="0.2">
      <c r="AA95" s="1162" t="s">
        <v>713</v>
      </c>
    </row>
    <row r="96" spans="27:27" x14ac:dyDescent="0.2">
      <c r="AA96" s="1162" t="s">
        <v>714</v>
      </c>
    </row>
    <row r="97" spans="27:27" x14ac:dyDescent="0.2">
      <c r="AA97" s="1162" t="s">
        <v>715</v>
      </c>
    </row>
    <row r="98" spans="27:27" x14ac:dyDescent="0.2">
      <c r="AA98" s="1162" t="s">
        <v>716</v>
      </c>
    </row>
    <row r="99" spans="27:27" x14ac:dyDescent="0.2">
      <c r="AA99" s="1162" t="s">
        <v>717</v>
      </c>
    </row>
    <row r="100" spans="27:27" x14ac:dyDescent="0.2">
      <c r="AA100" s="1162" t="s">
        <v>718</v>
      </c>
    </row>
    <row r="101" spans="27:27" x14ac:dyDescent="0.2">
      <c r="AA101" s="1162" t="s">
        <v>719</v>
      </c>
    </row>
    <row r="102" spans="27:27" x14ac:dyDescent="0.2">
      <c r="AA102" s="1162" t="s">
        <v>720</v>
      </c>
    </row>
    <row r="103" spans="27:27" x14ac:dyDescent="0.2">
      <c r="AA103" s="1162" t="s">
        <v>721</v>
      </c>
    </row>
    <row r="104" spans="27:27" x14ac:dyDescent="0.2">
      <c r="AA104" s="1162" t="s">
        <v>722</v>
      </c>
    </row>
    <row r="105" spans="27:27" x14ac:dyDescent="0.2">
      <c r="AA105" s="1162" t="s">
        <v>723</v>
      </c>
    </row>
    <row r="106" spans="27:27" x14ac:dyDescent="0.2">
      <c r="AA106" s="1162" t="s">
        <v>724</v>
      </c>
    </row>
    <row r="107" spans="27:27" x14ac:dyDescent="0.2">
      <c r="AA107" s="1162" t="s">
        <v>725</v>
      </c>
    </row>
    <row r="108" spans="27:27" x14ac:dyDescent="0.2">
      <c r="AA108" s="1162" t="s">
        <v>726</v>
      </c>
    </row>
    <row r="109" spans="27:27" x14ac:dyDescent="0.2">
      <c r="AA109" s="1162" t="s">
        <v>727</v>
      </c>
    </row>
    <row r="110" spans="27:27" x14ac:dyDescent="0.2">
      <c r="AA110" s="1162" t="s">
        <v>728</v>
      </c>
    </row>
    <row r="111" spans="27:27" x14ac:dyDescent="0.2">
      <c r="AA111" s="1162" t="s">
        <v>729</v>
      </c>
    </row>
    <row r="112" spans="27:27" x14ac:dyDescent="0.2">
      <c r="AA112" s="1162" t="s">
        <v>730</v>
      </c>
    </row>
    <row r="113" spans="27:27" x14ac:dyDescent="0.2">
      <c r="AA113" s="1162" t="s">
        <v>731</v>
      </c>
    </row>
    <row r="114" spans="27:27" x14ac:dyDescent="0.2">
      <c r="AA114" s="1162" t="s">
        <v>732</v>
      </c>
    </row>
    <row r="115" spans="27:27" x14ac:dyDescent="0.2">
      <c r="AA115" s="1162" t="s">
        <v>733</v>
      </c>
    </row>
    <row r="116" spans="27:27" x14ac:dyDescent="0.2">
      <c r="AA116" s="1162" t="s">
        <v>734</v>
      </c>
    </row>
    <row r="117" spans="27:27" x14ac:dyDescent="0.2">
      <c r="AA117" s="1162" t="s">
        <v>735</v>
      </c>
    </row>
    <row r="118" spans="27:27" x14ac:dyDescent="0.2">
      <c r="AA118" s="1162" t="s">
        <v>736</v>
      </c>
    </row>
    <row r="119" spans="27:27" x14ac:dyDescent="0.2">
      <c r="AA119" s="1162" t="s">
        <v>737</v>
      </c>
    </row>
    <row r="120" spans="27:27" x14ac:dyDescent="0.2">
      <c r="AA120" s="1162" t="s">
        <v>738</v>
      </c>
    </row>
    <row r="121" spans="27:27" x14ac:dyDescent="0.2">
      <c r="AA121" s="1162" t="s">
        <v>739</v>
      </c>
    </row>
    <row r="122" spans="27:27" x14ac:dyDescent="0.2">
      <c r="AA122" s="1162" t="s">
        <v>740</v>
      </c>
    </row>
    <row r="123" spans="27:27" x14ac:dyDescent="0.2">
      <c r="AA123" s="1162" t="s">
        <v>741</v>
      </c>
    </row>
    <row r="124" spans="27:27" x14ac:dyDescent="0.2">
      <c r="AA124" s="1162" t="s">
        <v>742</v>
      </c>
    </row>
    <row r="125" spans="27:27" x14ac:dyDescent="0.2">
      <c r="AA125" s="1162" t="s">
        <v>743</v>
      </c>
    </row>
    <row r="126" spans="27:27" x14ac:dyDescent="0.2">
      <c r="AA126" s="1162" t="s">
        <v>744</v>
      </c>
    </row>
    <row r="127" spans="27:27" x14ac:dyDescent="0.2">
      <c r="AA127" s="1162" t="s">
        <v>745</v>
      </c>
    </row>
    <row r="128" spans="27:27" x14ac:dyDescent="0.2">
      <c r="AA128" s="1162" t="s">
        <v>746</v>
      </c>
    </row>
    <row r="129" spans="27:27" x14ac:dyDescent="0.2">
      <c r="AA129" s="1162" t="s">
        <v>747</v>
      </c>
    </row>
    <row r="130" spans="27:27" x14ac:dyDescent="0.2">
      <c r="AA130" s="1162" t="s">
        <v>748</v>
      </c>
    </row>
    <row r="131" spans="27:27" x14ac:dyDescent="0.2">
      <c r="AA131" s="1162" t="s">
        <v>749</v>
      </c>
    </row>
    <row r="132" spans="27:27" x14ac:dyDescent="0.2">
      <c r="AA132" s="1162" t="s">
        <v>750</v>
      </c>
    </row>
    <row r="133" spans="27:27" x14ac:dyDescent="0.2">
      <c r="AA133" s="1162" t="s">
        <v>751</v>
      </c>
    </row>
    <row r="134" spans="27:27" x14ac:dyDescent="0.2">
      <c r="AA134" s="1162" t="s">
        <v>752</v>
      </c>
    </row>
    <row r="135" spans="27:27" x14ac:dyDescent="0.2">
      <c r="AA135" s="1162" t="s">
        <v>753</v>
      </c>
    </row>
    <row r="136" spans="27:27" x14ac:dyDescent="0.2">
      <c r="AA136" s="1162" t="s">
        <v>754</v>
      </c>
    </row>
    <row r="137" spans="27:27" x14ac:dyDescent="0.2">
      <c r="AA137" s="1162" t="s">
        <v>755</v>
      </c>
    </row>
    <row r="138" spans="27:27" x14ac:dyDescent="0.2">
      <c r="AA138" s="1162" t="s">
        <v>756</v>
      </c>
    </row>
    <row r="139" spans="27:27" x14ac:dyDescent="0.2">
      <c r="AA139" s="1162" t="s">
        <v>757</v>
      </c>
    </row>
    <row r="140" spans="27:27" x14ac:dyDescent="0.2">
      <c r="AA140" s="1162" t="s">
        <v>758</v>
      </c>
    </row>
    <row r="141" spans="27:27" x14ac:dyDescent="0.2">
      <c r="AA141" s="1162" t="s">
        <v>759</v>
      </c>
    </row>
    <row r="142" spans="27:27" x14ac:dyDescent="0.2">
      <c r="AA142" s="1162" t="s">
        <v>760</v>
      </c>
    </row>
    <row r="143" spans="27:27" x14ac:dyDescent="0.2">
      <c r="AA143" s="1162" t="s">
        <v>761</v>
      </c>
    </row>
    <row r="144" spans="27:27" x14ac:dyDescent="0.2">
      <c r="AA144" s="1162" t="s">
        <v>762</v>
      </c>
    </row>
    <row r="145" spans="27:27" x14ac:dyDescent="0.2">
      <c r="AA145" s="1162" t="s">
        <v>763</v>
      </c>
    </row>
    <row r="146" spans="27:27" x14ac:dyDescent="0.2">
      <c r="AA146" s="1162" t="s">
        <v>764</v>
      </c>
    </row>
    <row r="147" spans="27:27" x14ac:dyDescent="0.2">
      <c r="AA147" s="1162" t="s">
        <v>765</v>
      </c>
    </row>
    <row r="148" spans="27:27" x14ac:dyDescent="0.2">
      <c r="AA148" s="1162" t="s">
        <v>766</v>
      </c>
    </row>
    <row r="149" spans="27:27" x14ac:dyDescent="0.2">
      <c r="AA149" s="1162" t="s">
        <v>767</v>
      </c>
    </row>
    <row r="150" spans="27:27" x14ac:dyDescent="0.2">
      <c r="AA150" s="1162" t="s">
        <v>768</v>
      </c>
    </row>
    <row r="151" spans="27:27" x14ac:dyDescent="0.2">
      <c r="AA151" s="1162" t="s">
        <v>769</v>
      </c>
    </row>
    <row r="152" spans="27:27" x14ac:dyDescent="0.2">
      <c r="AA152" s="1162" t="s">
        <v>770</v>
      </c>
    </row>
    <row r="153" spans="27:27" x14ac:dyDescent="0.2">
      <c r="AA153" s="1162" t="s">
        <v>771</v>
      </c>
    </row>
    <row r="154" spans="27:27" x14ac:dyDescent="0.2">
      <c r="AA154" s="1162" t="s">
        <v>772</v>
      </c>
    </row>
    <row r="155" spans="27:27" x14ac:dyDescent="0.2">
      <c r="AA155" s="1162" t="s">
        <v>773</v>
      </c>
    </row>
    <row r="156" spans="27:27" x14ac:dyDescent="0.2">
      <c r="AA156" s="1162" t="s">
        <v>774</v>
      </c>
    </row>
    <row r="157" spans="27:27" x14ac:dyDescent="0.2">
      <c r="AA157" s="1162" t="s">
        <v>775</v>
      </c>
    </row>
    <row r="158" spans="27:27" x14ac:dyDescent="0.2">
      <c r="AA158" s="1162" t="s">
        <v>776</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61441" r:id="rId4">
          <objectPr defaultSize="0" r:id="rId5">
            <anchor moveWithCells="1">
              <from>
                <xdr:col>0</xdr:col>
                <xdr:colOff>0</xdr:colOff>
                <xdr:row>0</xdr:row>
                <xdr:rowOff>0</xdr:rowOff>
              </from>
              <to>
                <xdr:col>6</xdr:col>
                <xdr:colOff>438150</xdr:colOff>
                <xdr:row>3</xdr:row>
                <xdr:rowOff>28575</xdr:rowOff>
              </to>
            </anchor>
          </objectPr>
        </oleObject>
      </mc:Choice>
      <mc:Fallback>
        <oleObject progId="Packager Shell Object" dvAspect="DVASPECT_ICON" shapeId="61441" r:id="rId4"/>
      </mc:Fallback>
    </mc:AlternateContent>
    <mc:AlternateContent xmlns:mc="http://schemas.openxmlformats.org/markup-compatibility/2006">
      <mc:Choice Requires="x14">
        <oleObject progId="Packager Shell Object" dvAspect="DVASPECT_ICON" shapeId="61442" r:id="rId6">
          <objectPr defaultSize="0" r:id="rId7">
            <anchor moveWithCells="1">
              <from>
                <xdr:col>0</xdr:col>
                <xdr:colOff>0</xdr:colOff>
                <xdr:row>0</xdr:row>
                <xdr:rowOff>0</xdr:rowOff>
              </from>
              <to>
                <xdr:col>0</xdr:col>
                <xdr:colOff>552450</xdr:colOff>
                <xdr:row>3</xdr:row>
                <xdr:rowOff>28575</xdr:rowOff>
              </to>
            </anchor>
          </objectPr>
        </oleObject>
      </mc:Choice>
      <mc:Fallback>
        <oleObject progId="Packager Shell Object" dvAspect="DVASPECT_ICON" shapeId="61442" r:id="rId6"/>
      </mc:Fallback>
    </mc:AlternateContent>
    <mc:AlternateContent xmlns:mc="http://schemas.openxmlformats.org/markup-compatibility/2006">
      <mc:Choice Requires="x14">
        <oleObject progId="Packager Shell Object" dvAspect="DVASPECT_ICON" shapeId="61443" r:id="rId8">
          <objectPr defaultSize="0" r:id="rId9">
            <anchor moveWithCells="1">
              <from>
                <xdr:col>0</xdr:col>
                <xdr:colOff>0</xdr:colOff>
                <xdr:row>0</xdr:row>
                <xdr:rowOff>0</xdr:rowOff>
              </from>
              <to>
                <xdr:col>1</xdr:col>
                <xdr:colOff>409575</xdr:colOff>
                <xdr:row>3</xdr:row>
                <xdr:rowOff>28575</xdr:rowOff>
              </to>
            </anchor>
          </objectPr>
        </oleObject>
      </mc:Choice>
      <mc:Fallback>
        <oleObject progId="Packager Shell Object" dvAspect="DVASPECT_ICON" shapeId="61443" r:id="rId8"/>
      </mc:Fallback>
    </mc:AlternateContent>
    <mc:AlternateContent xmlns:mc="http://schemas.openxmlformats.org/markup-compatibility/2006">
      <mc:Choice Requires="x14">
        <oleObject progId="Packager Shell Object" dvAspect="DVASPECT_ICON" shapeId="61444" r:id="rId10">
          <objectPr defaultSize="0" r:id="rId11">
            <anchor moveWithCells="1">
              <from>
                <xdr:col>0</xdr:col>
                <xdr:colOff>0</xdr:colOff>
                <xdr:row>0</xdr:row>
                <xdr:rowOff>0</xdr:rowOff>
              </from>
              <to>
                <xdr:col>1</xdr:col>
                <xdr:colOff>342900</xdr:colOff>
                <xdr:row>3</xdr:row>
                <xdr:rowOff>28575</xdr:rowOff>
              </to>
            </anchor>
          </objectPr>
        </oleObject>
      </mc:Choice>
      <mc:Fallback>
        <oleObject progId="Packager Shell Object" dvAspect="DVASPECT_ICON" shapeId="61444"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1"/>
  </sheetPr>
  <dimension ref="A1:AJ278"/>
  <sheetViews>
    <sheetView showGridLines="0" view="pageBreakPreview" topLeftCell="G1" zoomScale="90" zoomScaleNormal="70" zoomScaleSheetLayoutView="90" workbookViewId="0">
      <selection activeCell="P10" sqref="P10"/>
    </sheetView>
  </sheetViews>
  <sheetFormatPr defaultColWidth="9.140625" defaultRowHeight="12.75" x14ac:dyDescent="0.2"/>
  <cols>
    <col min="1" max="2" width="0.140625" style="8" customWidth="1"/>
    <col min="3" max="3" width="14.85546875" style="391" customWidth="1"/>
    <col min="4" max="4" width="52.85546875" style="7" customWidth="1"/>
    <col min="5" max="5" width="24.85546875" style="7" customWidth="1"/>
    <col min="6" max="6" width="16.140625" style="7" customWidth="1"/>
    <col min="7" max="7" width="15.140625" style="392" customWidth="1"/>
    <col min="8" max="10" width="13.42578125" style="7" customWidth="1"/>
    <col min="11" max="16" width="16.140625" style="7" customWidth="1"/>
    <col min="17" max="17" width="22.85546875" style="7" customWidth="1"/>
    <col min="18" max="18" width="67.85546875" style="7" customWidth="1"/>
    <col min="19" max="19" width="22.5703125" style="8" customWidth="1"/>
    <col min="20" max="22" width="21.140625" style="8" customWidth="1"/>
    <col min="23" max="23" width="22" style="8" customWidth="1"/>
    <col min="24" max="24" width="36.140625" style="8" customWidth="1"/>
    <col min="25" max="25" width="78" style="8" customWidth="1"/>
    <col min="26" max="26" width="26.85546875" style="8" hidden="1" customWidth="1"/>
    <col min="27" max="27" width="47.5703125" style="8" hidden="1" customWidth="1"/>
    <col min="28" max="30" width="9.42578125" style="8" hidden="1" customWidth="1"/>
    <col min="31" max="31" width="25.42578125" style="8" hidden="1" customWidth="1"/>
    <col min="32" max="32" width="0.42578125" style="8" hidden="1" customWidth="1"/>
    <col min="33" max="33" width="10.42578125" style="369" hidden="1" customWidth="1"/>
    <col min="34" max="34" width="12.42578125" style="8" hidden="1" customWidth="1"/>
    <col min="35" max="35" width="0.42578125" style="8" customWidth="1"/>
    <col min="36" max="36" width="9.140625" style="369" customWidth="1"/>
    <col min="37" max="37" width="9.140625" style="8" customWidth="1"/>
    <col min="38" max="16384" width="9.140625" style="8"/>
  </cols>
  <sheetData>
    <row r="1" spans="1:36" ht="15.75" customHeight="1" x14ac:dyDescent="0.2">
      <c r="C1" s="1387"/>
      <c r="D1" s="1387"/>
      <c r="E1" s="1387"/>
      <c r="F1" s="1387"/>
      <c r="G1" s="1387"/>
      <c r="H1" s="1387"/>
      <c r="I1" s="1387"/>
      <c r="J1" s="1387"/>
      <c r="K1" s="1387"/>
      <c r="L1" s="1387"/>
      <c r="M1" s="386"/>
      <c r="N1" s="386"/>
      <c r="O1" s="386"/>
      <c r="P1" s="386"/>
      <c r="Q1" s="386"/>
      <c r="R1" s="386"/>
    </row>
    <row r="2" spans="1:36" ht="35.25" customHeight="1" x14ac:dyDescent="0.2">
      <c r="A2" s="14"/>
      <c r="C2" s="1390" t="str">
        <f>IF(CoverSheet!J12="N/A","Progress Report","Progress Report with Disbursement Request")</f>
        <v>Progress Report with Disbursement Request</v>
      </c>
      <c r="D2" s="1390"/>
      <c r="E2" s="1390"/>
      <c r="F2" s="1390"/>
      <c r="G2" s="1390"/>
      <c r="H2" s="1390"/>
      <c r="I2" s="1390"/>
      <c r="J2" s="1390"/>
      <c r="K2" s="1390"/>
      <c r="L2" s="1390"/>
      <c r="M2" s="386"/>
      <c r="N2" s="386"/>
      <c r="O2" s="386"/>
      <c r="P2" s="386"/>
      <c r="Q2" s="386"/>
      <c r="R2" s="386"/>
    </row>
    <row r="3" spans="1:36" ht="30" customHeight="1" x14ac:dyDescent="0.2">
      <c r="B3" s="14"/>
      <c r="C3" s="1393" t="s">
        <v>168</v>
      </c>
      <c r="D3" s="1393"/>
      <c r="E3" s="387"/>
      <c r="F3" s="387"/>
      <c r="G3" s="387"/>
      <c r="H3" s="387"/>
      <c r="I3" s="387"/>
      <c r="J3" s="387"/>
      <c r="K3" s="387"/>
      <c r="L3" s="387"/>
      <c r="M3" s="387"/>
      <c r="N3" s="387"/>
      <c r="O3" s="387"/>
      <c r="P3" s="387"/>
      <c r="Q3" s="387"/>
      <c r="R3" s="387"/>
      <c r="S3" s="387"/>
      <c r="T3" s="387"/>
      <c r="U3" s="387"/>
      <c r="V3" s="387"/>
      <c r="W3" s="387"/>
      <c r="X3" s="387"/>
      <c r="Y3" s="387"/>
      <c r="Z3" s="90"/>
      <c r="AA3" s="90"/>
      <c r="AB3" s="90"/>
      <c r="AC3" s="90"/>
      <c r="AD3" s="90"/>
      <c r="AE3" s="90"/>
    </row>
    <row r="4" spans="1:36" ht="6" hidden="1" customHeight="1" x14ac:dyDescent="0.2">
      <c r="C4" s="12"/>
      <c r="D4" s="387"/>
      <c r="E4" s="387"/>
      <c r="F4" s="387"/>
      <c r="G4" s="387"/>
      <c r="H4" s="387"/>
      <c r="I4" s="387"/>
      <c r="J4" s="387"/>
      <c r="K4" s="387"/>
      <c r="L4" s="387"/>
      <c r="M4" s="387"/>
      <c r="N4" s="387"/>
      <c r="O4" s="387"/>
      <c r="P4" s="387"/>
      <c r="Q4" s="387"/>
      <c r="R4" s="387"/>
      <c r="S4" s="387"/>
      <c r="T4" s="387"/>
      <c r="U4" s="387"/>
      <c r="V4" s="387"/>
      <c r="W4" s="387"/>
      <c r="X4" s="387"/>
      <c r="Y4" s="387"/>
    </row>
    <row r="5" spans="1:36" s="14" customFormat="1" ht="50.25" customHeight="1" thickBot="1" x14ac:dyDescent="0.25">
      <c r="C5" s="411" t="s">
        <v>532</v>
      </c>
      <c r="D5" s="411"/>
      <c r="E5" s="411"/>
      <c r="F5" s="411"/>
      <c r="G5" s="411"/>
      <c r="H5" s="13"/>
      <c r="I5" s="13"/>
      <c r="J5" s="13"/>
      <c r="K5" s="13"/>
      <c r="L5" s="13"/>
      <c r="M5" s="13"/>
      <c r="N5" s="13"/>
      <c r="O5" s="13"/>
      <c r="P5" s="13"/>
      <c r="Q5" s="13"/>
      <c r="R5" s="13"/>
      <c r="AG5" s="388"/>
      <c r="AJ5" s="388"/>
    </row>
    <row r="6" spans="1:36" ht="29.25" customHeight="1" thickBot="1" x14ac:dyDescent="0.25">
      <c r="A6" s="418"/>
      <c r="B6" s="420"/>
      <c r="C6" s="1388" t="s">
        <v>169</v>
      </c>
      <c r="D6" s="1389"/>
      <c r="E6" s="1389"/>
      <c r="F6" s="1389"/>
      <c r="G6" s="1389"/>
      <c r="H6" s="1389"/>
      <c r="I6" s="1389"/>
      <c r="J6" s="1389"/>
      <c r="K6" s="1389"/>
      <c r="L6" s="1389"/>
      <c r="M6" s="1389"/>
      <c r="N6" s="1389"/>
      <c r="O6" s="1389"/>
      <c r="P6" s="1389"/>
      <c r="Q6" s="1389"/>
      <c r="R6" s="1389"/>
      <c r="S6" s="1379"/>
      <c r="T6" s="1379"/>
      <c r="U6" s="1379"/>
      <c r="V6" s="1379"/>
      <c r="W6" s="1379"/>
      <c r="X6" s="1379"/>
      <c r="Y6" s="1379"/>
      <c r="Z6" s="1374"/>
      <c r="AA6" s="1375"/>
      <c r="AB6" s="1375"/>
      <c r="AC6" s="1375"/>
      <c r="AD6" s="1375"/>
      <c r="AE6" s="1376"/>
      <c r="AF6" s="412"/>
      <c r="AG6" s="413"/>
      <c r="AH6" s="412"/>
      <c r="AI6" s="389"/>
    </row>
    <row r="7" spans="1:36" ht="31.5" customHeight="1" x14ac:dyDescent="0.2">
      <c r="A7" s="419"/>
      <c r="B7" s="421"/>
      <c r="C7" s="1382" t="s">
        <v>53</v>
      </c>
      <c r="D7" s="1382" t="s">
        <v>533</v>
      </c>
      <c r="E7" s="1382" t="s">
        <v>534</v>
      </c>
      <c r="F7" s="1382" t="s">
        <v>196</v>
      </c>
      <c r="G7" s="1382"/>
      <c r="H7" s="1394" t="s">
        <v>91</v>
      </c>
      <c r="I7" s="1395"/>
      <c r="J7" s="1396"/>
      <c r="K7" s="1382" t="s">
        <v>59</v>
      </c>
      <c r="L7" s="1382" t="s">
        <v>30</v>
      </c>
      <c r="M7" s="1394" t="s">
        <v>232</v>
      </c>
      <c r="N7" s="1395"/>
      <c r="O7" s="1396"/>
      <c r="P7" s="1382" t="s">
        <v>228</v>
      </c>
      <c r="Q7" s="1382" t="s">
        <v>358</v>
      </c>
      <c r="R7" s="1382" t="s">
        <v>31</v>
      </c>
      <c r="S7" s="1380" t="s">
        <v>24</v>
      </c>
      <c r="T7" s="1384" t="s">
        <v>13</v>
      </c>
      <c r="U7" s="1385"/>
      <c r="V7" s="1386"/>
      <c r="W7" s="1380" t="s">
        <v>228</v>
      </c>
      <c r="X7" s="1380" t="s">
        <v>358</v>
      </c>
      <c r="Y7" s="1380" t="s">
        <v>19</v>
      </c>
      <c r="Z7" s="1377"/>
      <c r="AA7" s="1377"/>
      <c r="AB7" s="1377"/>
      <c r="AC7" s="1377"/>
      <c r="AD7" s="1377"/>
      <c r="AE7" s="1377"/>
      <c r="AF7" s="14"/>
      <c r="AG7" s="388"/>
      <c r="AH7" s="14"/>
      <c r="AI7" s="390"/>
    </row>
    <row r="8" spans="1:36" ht="54" customHeight="1" x14ac:dyDescent="0.2">
      <c r="A8" s="419"/>
      <c r="B8" s="421"/>
      <c r="C8" s="1391"/>
      <c r="D8" s="1383"/>
      <c r="E8" s="1383"/>
      <c r="F8" s="1190" t="s">
        <v>357</v>
      </c>
      <c r="G8" s="1190" t="s">
        <v>323</v>
      </c>
      <c r="H8" s="521" t="s">
        <v>95</v>
      </c>
      <c r="I8" s="521" t="s">
        <v>96</v>
      </c>
      <c r="J8" s="521" t="s">
        <v>97</v>
      </c>
      <c r="K8" s="1383"/>
      <c r="L8" s="1383"/>
      <c r="M8" s="521" t="s">
        <v>95</v>
      </c>
      <c r="N8" s="521" t="s">
        <v>96</v>
      </c>
      <c r="O8" s="521" t="s">
        <v>97</v>
      </c>
      <c r="P8" s="1383"/>
      <c r="Q8" s="1383"/>
      <c r="R8" s="1392"/>
      <c r="S8" s="1381"/>
      <c r="T8" s="813" t="s">
        <v>95</v>
      </c>
      <c r="U8" s="813" t="s">
        <v>96</v>
      </c>
      <c r="V8" s="813" t="s">
        <v>97</v>
      </c>
      <c r="W8" s="1381"/>
      <c r="X8" s="1381"/>
      <c r="Y8" s="1381"/>
      <c r="Z8" s="1378"/>
      <c r="AA8" s="1378"/>
      <c r="AB8" s="1378"/>
      <c r="AC8" s="1378"/>
      <c r="AD8" s="1378"/>
      <c r="AE8" s="1378"/>
      <c r="AF8" s="526"/>
      <c r="AG8" s="527" t="s">
        <v>356</v>
      </c>
      <c r="AH8" s="14"/>
      <c r="AI8" s="390"/>
    </row>
    <row r="9" spans="1:36" ht="30" hidden="1" x14ac:dyDescent="0.2">
      <c r="A9" s="419"/>
      <c r="B9" s="421"/>
      <c r="C9" s="902" t="str">
        <f>"Impact"</f>
        <v>Impact</v>
      </c>
      <c r="D9" s="1191" t="s">
        <v>288</v>
      </c>
      <c r="E9" s="1192" t="s">
        <v>289</v>
      </c>
      <c r="F9" s="1192" t="s">
        <v>290</v>
      </c>
      <c r="G9" s="1192" t="s">
        <v>291</v>
      </c>
      <c r="H9" s="1193" t="s">
        <v>324</v>
      </c>
      <c r="I9" s="1193" t="s">
        <v>325</v>
      </c>
      <c r="J9" s="1194" t="s">
        <v>326</v>
      </c>
      <c r="K9" s="1192" t="s">
        <v>292</v>
      </c>
      <c r="L9" s="1195" t="s">
        <v>293</v>
      </c>
      <c r="M9" s="1196" t="s">
        <v>327</v>
      </c>
      <c r="N9" s="1196" t="s">
        <v>328</v>
      </c>
      <c r="O9" s="1197" t="str">
        <f>IFERROR((M9/N9)*100,"")</f>
        <v/>
      </c>
      <c r="P9" s="1186" t="s">
        <v>294</v>
      </c>
      <c r="Q9" s="1198" t="s">
        <v>295</v>
      </c>
      <c r="R9" s="1186" t="s">
        <v>296</v>
      </c>
      <c r="S9" s="1199" t="s">
        <v>297</v>
      </c>
      <c r="T9" s="1200" t="s">
        <v>370</v>
      </c>
      <c r="U9" s="1200" t="s">
        <v>330</v>
      </c>
      <c r="V9" s="1201" t="str">
        <f>IFERROR((T9/U9)*100,"")</f>
        <v/>
      </c>
      <c r="W9" s="1186" t="s">
        <v>298</v>
      </c>
      <c r="X9" s="1198" t="s">
        <v>299</v>
      </c>
      <c r="Y9" s="1186" t="s">
        <v>300</v>
      </c>
      <c r="Z9" s="1202"/>
      <c r="AA9" s="1203"/>
      <c r="AB9" s="1204"/>
      <c r="AC9" s="1204"/>
      <c r="AD9" s="1204"/>
      <c r="AE9" s="1204"/>
      <c r="AF9" s="1205"/>
      <c r="AG9" s="1206" t="s">
        <v>355</v>
      </c>
      <c r="AH9" s="485"/>
      <c r="AI9" s="486"/>
    </row>
    <row r="10" spans="1:36" ht="38.25" x14ac:dyDescent="0.2">
      <c r="A10" s="419"/>
      <c r="B10" s="421"/>
      <c r="C10" s="1189"/>
      <c r="D10" s="1191" t="s">
        <v>970</v>
      </c>
      <c r="E10" s="1192"/>
      <c r="F10" s="1192" t="s">
        <v>971</v>
      </c>
      <c r="G10" s="1192" t="s">
        <v>832</v>
      </c>
      <c r="H10" s="1193">
        <v>6.5</v>
      </c>
      <c r="I10" s="1193"/>
      <c r="J10" s="1194"/>
      <c r="K10" s="1192" t="s">
        <v>835</v>
      </c>
      <c r="L10" s="1195">
        <v>43146</v>
      </c>
      <c r="M10" s="1350">
        <v>4.8</v>
      </c>
      <c r="N10" s="1196"/>
      <c r="O10" s="1197" t="str">
        <f>IFERROR((M10/N10)*100,"")</f>
        <v/>
      </c>
      <c r="P10" s="1186" t="s">
        <v>835</v>
      </c>
      <c r="Q10" s="1198" t="s">
        <v>863</v>
      </c>
      <c r="R10" s="1186" t="s">
        <v>1621</v>
      </c>
      <c r="S10" s="1199"/>
      <c r="T10" s="1200"/>
      <c r="U10" s="1200"/>
      <c r="V10" s="1201" t="str">
        <f>IFERROR((T10/U10)*100,"")</f>
        <v/>
      </c>
      <c r="W10" s="1186"/>
      <c r="X10" s="1198"/>
      <c r="Y10" s="1186"/>
      <c r="Z10" s="1202"/>
      <c r="AA10" s="1203"/>
      <c r="AB10" s="1204"/>
      <c r="AC10" s="1204"/>
      <c r="AD10" s="1204"/>
      <c r="AE10" s="1204"/>
      <c r="AF10" s="1205"/>
      <c r="AG10" s="1206" t="s">
        <v>972</v>
      </c>
      <c r="AH10" s="485"/>
      <c r="AI10" s="486"/>
    </row>
    <row r="11" spans="1:36" ht="45" x14ac:dyDescent="0.2">
      <c r="A11" s="419"/>
      <c r="B11" s="421"/>
      <c r="C11" s="1189"/>
      <c r="D11" s="1191" t="s">
        <v>973</v>
      </c>
      <c r="E11" s="1192"/>
      <c r="F11" s="1192" t="s">
        <v>974</v>
      </c>
      <c r="G11" s="1192" t="s">
        <v>832</v>
      </c>
      <c r="H11" s="1193"/>
      <c r="I11" s="1193"/>
      <c r="J11" s="1194">
        <v>12</v>
      </c>
      <c r="K11" s="1192" t="s">
        <v>835</v>
      </c>
      <c r="L11" s="1195">
        <v>43146</v>
      </c>
      <c r="M11" s="1196"/>
      <c r="N11" s="1196"/>
      <c r="O11" s="1197">
        <v>9.3000000000000007</v>
      </c>
      <c r="P11" s="1186" t="s">
        <v>835</v>
      </c>
      <c r="Q11" s="1198" t="s">
        <v>870</v>
      </c>
      <c r="R11" s="1186" t="s">
        <v>1622</v>
      </c>
      <c r="S11" s="1199"/>
      <c r="T11" s="1200"/>
      <c r="U11" s="1200"/>
      <c r="V11" s="1201" t="str">
        <f>IFERROR((T11/U11)*100,"")</f>
        <v/>
      </c>
      <c r="W11" s="1186"/>
      <c r="X11" s="1198"/>
      <c r="Y11" s="1186"/>
      <c r="Z11" s="1202"/>
      <c r="AA11" s="1203"/>
      <c r="AB11" s="1204"/>
      <c r="AC11" s="1204"/>
      <c r="AD11" s="1204"/>
      <c r="AE11" s="1204"/>
      <c r="AF11" s="1205"/>
      <c r="AG11" s="1206" t="s">
        <v>975</v>
      </c>
      <c r="AH11" s="485"/>
      <c r="AI11" s="486"/>
    </row>
    <row r="12" spans="1:36" ht="36.75" hidden="1" customHeight="1" x14ac:dyDescent="0.2">
      <c r="A12" s="1371" t="s">
        <v>302</v>
      </c>
      <c r="B12" s="1372"/>
      <c r="C12" s="1372"/>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207"/>
      <c r="AA12" s="1207"/>
      <c r="AB12" s="1207"/>
      <c r="AC12" s="1207"/>
      <c r="AD12" s="1207"/>
      <c r="AE12" s="1207"/>
      <c r="AF12" s="526"/>
      <c r="AG12" s="527" t="s">
        <v>356</v>
      </c>
      <c r="AH12" s="14"/>
      <c r="AI12" s="390"/>
    </row>
    <row r="13" spans="1:36" ht="30" hidden="1" x14ac:dyDescent="0.2">
      <c r="A13" s="419"/>
      <c r="B13" s="421"/>
      <c r="C13" s="902" t="str">
        <f>"Outcome"</f>
        <v>Outcome</v>
      </c>
      <c r="D13" s="1191" t="s">
        <v>303</v>
      </c>
      <c r="E13" s="1192" t="s">
        <v>304</v>
      </c>
      <c r="F13" s="1192" t="s">
        <v>290</v>
      </c>
      <c r="G13" s="1192" t="s">
        <v>291</v>
      </c>
      <c r="H13" s="1193" t="s">
        <v>324</v>
      </c>
      <c r="I13" s="1193" t="s">
        <v>325</v>
      </c>
      <c r="J13" s="1194" t="s">
        <v>326</v>
      </c>
      <c r="K13" s="1192" t="s">
        <v>292</v>
      </c>
      <c r="L13" s="1195" t="s">
        <v>293</v>
      </c>
      <c r="M13" s="1196" t="s">
        <v>327</v>
      </c>
      <c r="N13" s="1196" t="s">
        <v>328</v>
      </c>
      <c r="O13" s="1197" t="str">
        <f>IFERROR((M13/N13)*100,"")</f>
        <v/>
      </c>
      <c r="P13" s="1186" t="s">
        <v>294</v>
      </c>
      <c r="Q13" s="1198" t="s">
        <v>295</v>
      </c>
      <c r="R13" s="1186" t="s">
        <v>296</v>
      </c>
      <c r="S13" s="1199" t="s">
        <v>297</v>
      </c>
      <c r="T13" s="1200" t="s">
        <v>370</v>
      </c>
      <c r="U13" s="1200" t="s">
        <v>330</v>
      </c>
      <c r="V13" s="1201" t="str">
        <f>IFERROR((T13/U13)*100,"")</f>
        <v/>
      </c>
      <c r="W13" s="1186" t="s">
        <v>298</v>
      </c>
      <c r="X13" s="1198" t="s">
        <v>299</v>
      </c>
      <c r="Y13" s="1186" t="s">
        <v>300</v>
      </c>
      <c r="Z13" s="1208"/>
      <c r="AA13" s="1209"/>
      <c r="AB13" s="1210"/>
      <c r="AC13" s="1210"/>
      <c r="AD13" s="1210"/>
      <c r="AE13" s="1210"/>
      <c r="AF13" s="526"/>
      <c r="AG13" s="527" t="s">
        <v>355</v>
      </c>
      <c r="AH13" s="14"/>
      <c r="AI13" s="390"/>
    </row>
    <row r="14" spans="1:36" ht="60" x14ac:dyDescent="0.2">
      <c r="A14" s="419"/>
      <c r="B14" s="421"/>
      <c r="C14" s="1189"/>
      <c r="D14" s="1191" t="s">
        <v>976</v>
      </c>
      <c r="E14" s="1192"/>
      <c r="F14" s="1192" t="s">
        <v>977</v>
      </c>
      <c r="G14" s="1192" t="s">
        <v>832</v>
      </c>
      <c r="H14" s="1193">
        <v>82.3</v>
      </c>
      <c r="I14" s="1193"/>
      <c r="J14" s="1194"/>
      <c r="K14" s="1192" t="s">
        <v>835</v>
      </c>
      <c r="L14" s="1195">
        <v>43146</v>
      </c>
      <c r="M14" s="1350">
        <v>69</v>
      </c>
      <c r="N14" s="1196"/>
      <c r="O14" s="1197" t="str">
        <f>IFERROR((M14/N14)*100,"")</f>
        <v/>
      </c>
      <c r="P14" s="1186" t="s">
        <v>835</v>
      </c>
      <c r="Q14" s="1198" t="s">
        <v>870</v>
      </c>
      <c r="R14" s="1186" t="s">
        <v>1623</v>
      </c>
      <c r="S14" s="1199"/>
      <c r="T14" s="1200"/>
      <c r="U14" s="1200"/>
      <c r="V14" s="1201" t="str">
        <f>IFERROR((T14/U14)*100,"")</f>
        <v/>
      </c>
      <c r="W14" s="1186"/>
      <c r="X14" s="1198"/>
      <c r="Y14" s="1186"/>
      <c r="Z14" s="1208"/>
      <c r="AA14" s="1209"/>
      <c r="AB14" s="1210"/>
      <c r="AC14" s="1210"/>
      <c r="AD14" s="1210"/>
      <c r="AE14" s="1210"/>
      <c r="AF14" s="526"/>
      <c r="AG14" s="527" t="s">
        <v>978</v>
      </c>
      <c r="AH14" s="14"/>
      <c r="AI14" s="390"/>
    </row>
    <row r="15" spans="1:36" ht="60" x14ac:dyDescent="0.2">
      <c r="A15" s="419"/>
      <c r="B15" s="421"/>
      <c r="C15" s="1189"/>
      <c r="D15" s="1191" t="s">
        <v>979</v>
      </c>
      <c r="E15" s="1192"/>
      <c r="F15" s="1192" t="s">
        <v>980</v>
      </c>
      <c r="G15" s="1192" t="s">
        <v>833</v>
      </c>
      <c r="H15" s="1193"/>
      <c r="I15" s="1193"/>
      <c r="J15" s="1194">
        <v>53</v>
      </c>
      <c r="K15" s="1192" t="s">
        <v>835</v>
      </c>
      <c r="L15" s="1195">
        <v>43146</v>
      </c>
      <c r="M15" s="1196"/>
      <c r="N15" s="1196"/>
      <c r="O15" s="1197">
        <v>49</v>
      </c>
      <c r="P15" s="1186" t="s">
        <v>835</v>
      </c>
      <c r="Q15" s="1198" t="s">
        <v>870</v>
      </c>
      <c r="R15" s="1186" t="s">
        <v>1624</v>
      </c>
      <c r="S15" s="1199"/>
      <c r="T15" s="1200"/>
      <c r="U15" s="1200"/>
      <c r="V15" s="1201" t="str">
        <f>IFERROR((T15/U15)*100,"")</f>
        <v/>
      </c>
      <c r="W15" s="1186"/>
      <c r="X15" s="1198"/>
      <c r="Y15" s="1186"/>
      <c r="Z15" s="1208"/>
      <c r="AA15" s="1209"/>
      <c r="AB15" s="1210"/>
      <c r="AC15" s="1210"/>
      <c r="AD15" s="1210"/>
      <c r="AE15" s="1210"/>
      <c r="AF15" s="526"/>
      <c r="AG15" s="527" t="s">
        <v>981</v>
      </c>
      <c r="AH15" s="14"/>
      <c r="AI15" s="390"/>
    </row>
    <row r="16" spans="1:36" ht="90" x14ac:dyDescent="0.2">
      <c r="A16" s="419"/>
      <c r="B16" s="421"/>
      <c r="C16" s="1189"/>
      <c r="D16" s="1191" t="s">
        <v>982</v>
      </c>
      <c r="E16" s="1192"/>
      <c r="F16" s="1192" t="s">
        <v>983</v>
      </c>
      <c r="G16" s="1192" t="s">
        <v>833</v>
      </c>
      <c r="H16" s="1193"/>
      <c r="I16" s="1193"/>
      <c r="J16" s="1194">
        <v>85</v>
      </c>
      <c r="K16" s="1192" t="s">
        <v>835</v>
      </c>
      <c r="L16" s="1195">
        <v>43146</v>
      </c>
      <c r="M16" s="1196"/>
      <c r="N16" s="1196"/>
      <c r="O16" s="1197">
        <v>82</v>
      </c>
      <c r="P16" s="1186" t="s">
        <v>835</v>
      </c>
      <c r="Q16" s="1198" t="s">
        <v>863</v>
      </c>
      <c r="R16" s="1186" t="s">
        <v>1625</v>
      </c>
      <c r="S16" s="1199"/>
      <c r="T16" s="1200"/>
      <c r="U16" s="1200"/>
      <c r="V16" s="1201" t="str">
        <f>IFERROR((T16/U16)*100,"")</f>
        <v/>
      </c>
      <c r="W16" s="1186"/>
      <c r="X16" s="1198"/>
      <c r="Y16" s="1186"/>
      <c r="Z16" s="1208"/>
      <c r="AA16" s="1209"/>
      <c r="AB16" s="1210"/>
      <c r="AC16" s="1210"/>
      <c r="AD16" s="1210"/>
      <c r="AE16" s="1210"/>
      <c r="AF16" s="526"/>
      <c r="AG16" s="527" t="s">
        <v>984</v>
      </c>
      <c r="AH16" s="14"/>
      <c r="AI16" s="390"/>
    </row>
    <row r="17" spans="1:35" ht="2.4500000000000002" customHeight="1" thickBot="1" x14ac:dyDescent="0.25">
      <c r="A17" s="414"/>
      <c r="B17" s="415"/>
      <c r="C17" s="415"/>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6"/>
      <c r="AH17" s="415"/>
      <c r="AI17" s="417"/>
    </row>
    <row r="18" spans="1:35" x14ac:dyDescent="0.2">
      <c r="C18" s="8"/>
      <c r="D18" s="8"/>
      <c r="E18" s="8"/>
      <c r="F18" s="8"/>
      <c r="G18" s="8"/>
      <c r="H18" s="8"/>
      <c r="I18" s="8"/>
      <c r="J18" s="8"/>
      <c r="K18" s="8"/>
      <c r="L18" s="8"/>
      <c r="M18" s="8"/>
      <c r="N18" s="8"/>
      <c r="O18" s="8"/>
      <c r="P18" s="8"/>
      <c r="Q18" s="8"/>
      <c r="R18" s="8"/>
    </row>
    <row r="19" spans="1:35" x14ac:dyDescent="0.2">
      <c r="C19" s="8"/>
      <c r="D19" s="8"/>
      <c r="E19" s="8"/>
      <c r="F19" s="8"/>
      <c r="G19" s="8"/>
      <c r="H19" s="8"/>
      <c r="I19" s="8"/>
      <c r="J19" s="8"/>
      <c r="K19" s="8"/>
      <c r="L19" s="8"/>
      <c r="M19" s="8"/>
      <c r="N19" s="8"/>
      <c r="O19" s="8"/>
      <c r="P19" s="8"/>
      <c r="Q19" s="8"/>
      <c r="R19" s="8"/>
    </row>
    <row r="20" spans="1:35" x14ac:dyDescent="0.2">
      <c r="C20" s="8"/>
      <c r="D20" s="8"/>
      <c r="E20" s="8"/>
      <c r="F20" s="8"/>
      <c r="G20" s="8"/>
      <c r="H20" s="8"/>
      <c r="I20" s="8"/>
      <c r="J20" s="8"/>
      <c r="K20" s="8"/>
      <c r="L20" s="8"/>
      <c r="M20" s="8"/>
      <c r="N20" s="8"/>
      <c r="O20" s="8"/>
      <c r="P20" s="8"/>
      <c r="Q20" s="8"/>
      <c r="R20" s="8"/>
    </row>
    <row r="21" spans="1:35" x14ac:dyDescent="0.2">
      <c r="C21" s="8"/>
      <c r="D21" s="8"/>
      <c r="E21" s="8"/>
      <c r="F21" s="8"/>
      <c r="G21" s="8"/>
      <c r="H21" s="8"/>
      <c r="I21" s="8"/>
      <c r="J21" s="8"/>
      <c r="K21" s="8"/>
      <c r="L21" s="8"/>
      <c r="M21" s="8"/>
      <c r="N21" s="8"/>
      <c r="O21" s="8"/>
      <c r="P21" s="8"/>
      <c r="Q21" s="8"/>
      <c r="R21" s="8"/>
    </row>
    <row r="22" spans="1:35" x14ac:dyDescent="0.2">
      <c r="C22" s="8"/>
      <c r="D22" s="8"/>
      <c r="E22" s="8"/>
      <c r="F22" s="8"/>
      <c r="G22" s="8"/>
      <c r="H22" s="8"/>
      <c r="I22" s="8"/>
      <c r="J22" s="8"/>
      <c r="K22" s="8"/>
      <c r="L22" s="8"/>
      <c r="M22" s="8"/>
      <c r="N22" s="8"/>
      <c r="O22" s="8"/>
      <c r="P22" s="8"/>
      <c r="Q22" s="8"/>
      <c r="R22" s="8"/>
    </row>
    <row r="23" spans="1:35" x14ac:dyDescent="0.2">
      <c r="C23" s="8"/>
      <c r="D23" s="8"/>
      <c r="E23" s="8"/>
      <c r="F23" s="8"/>
      <c r="G23" s="8"/>
      <c r="H23" s="8"/>
      <c r="I23" s="8"/>
      <c r="J23" s="8"/>
      <c r="K23" s="8"/>
      <c r="L23" s="8"/>
      <c r="M23" s="8"/>
      <c r="N23" s="8"/>
      <c r="O23" s="8"/>
      <c r="P23" s="8"/>
      <c r="Q23" s="8"/>
      <c r="R23" s="8"/>
    </row>
    <row r="24" spans="1:35" x14ac:dyDescent="0.2">
      <c r="C24" s="8"/>
      <c r="D24" s="8"/>
      <c r="E24" s="8"/>
      <c r="F24" s="8"/>
      <c r="G24" s="8"/>
      <c r="H24" s="8"/>
      <c r="I24" s="8"/>
      <c r="J24" s="8"/>
      <c r="K24" s="8"/>
      <c r="L24" s="8"/>
      <c r="M24" s="8"/>
      <c r="N24" s="8"/>
      <c r="O24" s="8"/>
      <c r="P24" s="8"/>
      <c r="Q24" s="8"/>
      <c r="R24" s="8"/>
    </row>
    <row r="25" spans="1:35" ht="13.35" customHeight="1" x14ac:dyDescent="0.2">
      <c r="C25" s="8"/>
      <c r="D25" s="8"/>
      <c r="E25" s="8"/>
      <c r="F25" s="8"/>
      <c r="G25" s="8"/>
      <c r="H25" s="8"/>
      <c r="I25" s="8"/>
      <c r="J25" s="8"/>
      <c r="K25" s="8"/>
      <c r="L25" s="8"/>
      <c r="M25" s="8"/>
      <c r="N25" s="8"/>
      <c r="O25" s="8"/>
      <c r="P25" s="8"/>
      <c r="Q25" s="8"/>
      <c r="R25" s="8"/>
    </row>
    <row r="26" spans="1:35" ht="13.35" customHeight="1" x14ac:dyDescent="0.2">
      <c r="C26" s="8"/>
      <c r="D26" s="8"/>
      <c r="E26" s="8"/>
      <c r="F26" s="8"/>
      <c r="G26" s="8"/>
      <c r="H26" s="8"/>
      <c r="I26" s="8"/>
      <c r="J26" s="8"/>
      <c r="K26" s="8"/>
      <c r="L26" s="8"/>
      <c r="M26" s="8"/>
      <c r="N26" s="8"/>
      <c r="O26" s="8"/>
      <c r="P26" s="8"/>
      <c r="Q26" s="8"/>
      <c r="R26" s="8"/>
    </row>
    <row r="27" spans="1:35" ht="13.35" customHeight="1" x14ac:dyDescent="0.2">
      <c r="C27" s="8"/>
      <c r="D27" s="8"/>
      <c r="E27" s="8"/>
      <c r="F27" s="8"/>
      <c r="G27" s="8"/>
      <c r="H27" s="8"/>
      <c r="I27" s="8"/>
      <c r="J27" s="8"/>
      <c r="K27" s="8"/>
      <c r="L27" s="8"/>
      <c r="M27" s="8"/>
      <c r="N27" s="8"/>
      <c r="O27" s="8"/>
      <c r="P27" s="8"/>
      <c r="Q27" s="8"/>
      <c r="R27" s="8"/>
    </row>
    <row r="28" spans="1:35" x14ac:dyDescent="0.2">
      <c r="C28" s="8"/>
      <c r="D28" s="8"/>
      <c r="E28" s="8"/>
      <c r="F28" s="8"/>
      <c r="G28" s="8"/>
      <c r="H28" s="8"/>
      <c r="I28" s="8"/>
      <c r="J28" s="8"/>
      <c r="K28" s="8"/>
      <c r="L28" s="8"/>
      <c r="M28" s="8"/>
      <c r="N28" s="8"/>
      <c r="O28" s="8"/>
      <c r="P28" s="8"/>
      <c r="Q28" s="8"/>
      <c r="R28" s="8"/>
    </row>
    <row r="29" spans="1:35" ht="15.6" customHeight="1" x14ac:dyDescent="0.2">
      <c r="C29" s="8"/>
      <c r="D29" s="8"/>
      <c r="E29" s="8"/>
      <c r="F29" s="8"/>
      <c r="G29" s="8"/>
      <c r="H29" s="8"/>
      <c r="I29" s="8"/>
      <c r="J29" s="8"/>
      <c r="K29" s="8"/>
      <c r="L29" s="8"/>
      <c r="M29" s="8"/>
      <c r="N29" s="8"/>
      <c r="O29" s="8"/>
      <c r="P29" s="8"/>
      <c r="Q29" s="8"/>
      <c r="R29" s="8"/>
    </row>
    <row r="30" spans="1:35" x14ac:dyDescent="0.2">
      <c r="C30" s="8"/>
      <c r="D30" s="8"/>
      <c r="E30" s="8"/>
      <c r="F30" s="8"/>
      <c r="G30" s="8"/>
      <c r="H30" s="8"/>
      <c r="I30" s="8"/>
      <c r="J30" s="8"/>
      <c r="K30" s="8"/>
      <c r="L30" s="8"/>
      <c r="M30" s="8"/>
      <c r="N30" s="8"/>
      <c r="O30" s="8"/>
      <c r="P30" s="8"/>
      <c r="Q30" s="8"/>
      <c r="R30" s="8"/>
    </row>
    <row r="31" spans="1:35" x14ac:dyDescent="0.2">
      <c r="C31" s="8"/>
      <c r="D31" s="8"/>
      <c r="E31" s="8"/>
      <c r="F31" s="8"/>
      <c r="G31" s="8"/>
      <c r="H31" s="8"/>
      <c r="I31" s="8"/>
      <c r="J31" s="8"/>
      <c r="K31" s="8"/>
      <c r="L31" s="8"/>
      <c r="M31" s="8"/>
      <c r="N31" s="8"/>
      <c r="O31" s="8"/>
      <c r="P31" s="8"/>
      <c r="Q31" s="8"/>
      <c r="R31" s="8"/>
    </row>
    <row r="32" spans="1:35" x14ac:dyDescent="0.2">
      <c r="C32" s="8"/>
      <c r="D32" s="8"/>
      <c r="E32" s="8"/>
      <c r="F32" s="8"/>
      <c r="G32" s="8"/>
      <c r="H32" s="8"/>
      <c r="I32" s="8"/>
      <c r="J32" s="8"/>
      <c r="K32" s="8"/>
      <c r="L32" s="8"/>
      <c r="M32" s="8"/>
      <c r="N32" s="8"/>
      <c r="O32" s="8"/>
      <c r="P32" s="8"/>
      <c r="Q32" s="8"/>
      <c r="R32" s="8"/>
    </row>
    <row r="33" spans="3:18" x14ac:dyDescent="0.2">
      <c r="C33" s="8"/>
      <c r="D33" s="8"/>
      <c r="E33" s="8"/>
      <c r="F33" s="8"/>
      <c r="G33" s="8"/>
      <c r="H33" s="8"/>
      <c r="I33" s="8"/>
      <c r="J33" s="8"/>
      <c r="K33" s="8"/>
      <c r="L33" s="8"/>
      <c r="M33" s="8"/>
      <c r="N33" s="8"/>
      <c r="O33" s="8"/>
      <c r="P33" s="8"/>
      <c r="Q33" s="8"/>
      <c r="R33" s="8"/>
    </row>
    <row r="34" spans="3:18" x14ac:dyDescent="0.2">
      <c r="C34" s="8"/>
      <c r="D34" s="8"/>
      <c r="E34" s="8"/>
      <c r="F34" s="8"/>
      <c r="G34" s="8"/>
      <c r="H34" s="8"/>
      <c r="I34" s="8"/>
      <c r="J34" s="8"/>
      <c r="K34" s="8"/>
      <c r="L34" s="8"/>
      <c r="M34" s="8"/>
      <c r="N34" s="8"/>
      <c r="O34" s="8"/>
      <c r="P34" s="8"/>
      <c r="Q34" s="8"/>
      <c r="R34" s="8"/>
    </row>
    <row r="35" spans="3:18" x14ac:dyDescent="0.2">
      <c r="C35" s="8"/>
      <c r="D35" s="8"/>
      <c r="E35" s="8"/>
      <c r="F35" s="8"/>
      <c r="G35" s="8"/>
      <c r="H35" s="8"/>
      <c r="I35" s="8"/>
      <c r="J35" s="8"/>
      <c r="K35" s="8"/>
      <c r="L35" s="8"/>
      <c r="M35" s="8"/>
      <c r="N35" s="8"/>
      <c r="O35" s="8"/>
      <c r="P35" s="8"/>
      <c r="Q35" s="8"/>
      <c r="R35" s="8"/>
    </row>
    <row r="36" spans="3:18" x14ac:dyDescent="0.2">
      <c r="C36" s="8"/>
      <c r="D36" s="8"/>
      <c r="E36" s="8"/>
      <c r="F36" s="8"/>
      <c r="G36" s="8"/>
      <c r="H36" s="8"/>
      <c r="I36" s="8"/>
      <c r="J36" s="8"/>
      <c r="K36" s="8"/>
      <c r="L36" s="8"/>
      <c r="M36" s="8"/>
      <c r="N36" s="8"/>
      <c r="O36" s="8"/>
      <c r="P36" s="8"/>
      <c r="Q36" s="8"/>
      <c r="R36" s="8"/>
    </row>
    <row r="37" spans="3:18" x14ac:dyDescent="0.2">
      <c r="C37" s="8"/>
      <c r="D37" s="8"/>
      <c r="E37" s="8"/>
      <c r="F37" s="8"/>
      <c r="G37" s="8"/>
      <c r="H37" s="8"/>
      <c r="I37" s="8"/>
      <c r="J37" s="8"/>
      <c r="K37" s="8"/>
      <c r="L37" s="8"/>
      <c r="M37" s="8"/>
      <c r="N37" s="8"/>
      <c r="O37" s="8"/>
      <c r="P37" s="8"/>
      <c r="Q37" s="8"/>
      <c r="R37" s="8"/>
    </row>
    <row r="38" spans="3:18" x14ac:dyDescent="0.2">
      <c r="C38" s="8"/>
      <c r="D38" s="8"/>
      <c r="E38" s="8"/>
      <c r="F38" s="8"/>
      <c r="G38" s="8"/>
      <c r="H38" s="8"/>
      <c r="I38" s="8"/>
      <c r="J38" s="8"/>
      <c r="K38" s="8"/>
      <c r="L38" s="8"/>
      <c r="M38" s="8"/>
      <c r="N38" s="8"/>
      <c r="O38" s="8"/>
      <c r="P38" s="8"/>
      <c r="Q38" s="8"/>
      <c r="R38" s="8"/>
    </row>
    <row r="39" spans="3:18" x14ac:dyDescent="0.2">
      <c r="C39" s="8"/>
      <c r="D39" s="8"/>
      <c r="E39" s="8"/>
      <c r="F39" s="8"/>
      <c r="G39" s="8"/>
      <c r="H39" s="8"/>
      <c r="I39" s="8"/>
      <c r="J39" s="8"/>
      <c r="K39" s="8"/>
      <c r="L39" s="8"/>
      <c r="M39" s="8"/>
      <c r="N39" s="8"/>
      <c r="O39" s="8"/>
      <c r="P39" s="8"/>
      <c r="Q39" s="8"/>
      <c r="R39" s="8"/>
    </row>
    <row r="40" spans="3:18" x14ac:dyDescent="0.2">
      <c r="C40" s="8"/>
      <c r="D40" s="8"/>
      <c r="E40" s="8"/>
      <c r="F40" s="8"/>
      <c r="G40" s="8"/>
      <c r="H40" s="8"/>
      <c r="I40" s="8"/>
      <c r="J40" s="8"/>
      <c r="K40" s="8"/>
      <c r="L40" s="8"/>
      <c r="M40" s="8"/>
      <c r="N40" s="8"/>
      <c r="O40" s="8"/>
      <c r="P40" s="8"/>
      <c r="Q40" s="8"/>
      <c r="R40" s="8"/>
    </row>
    <row r="41" spans="3:18" x14ac:dyDescent="0.2">
      <c r="C41" s="8"/>
      <c r="D41" s="8"/>
      <c r="E41" s="8"/>
      <c r="F41" s="8"/>
      <c r="G41" s="8"/>
      <c r="H41" s="8"/>
      <c r="I41" s="8"/>
      <c r="J41" s="8"/>
      <c r="K41" s="8"/>
      <c r="L41" s="8"/>
      <c r="M41" s="8"/>
      <c r="N41" s="8"/>
      <c r="O41" s="8"/>
      <c r="P41" s="8"/>
      <c r="Q41" s="8"/>
      <c r="R41" s="8"/>
    </row>
    <row r="42" spans="3:18" x14ac:dyDescent="0.2">
      <c r="C42" s="8"/>
      <c r="D42" s="8"/>
      <c r="E42" s="8"/>
      <c r="F42" s="8"/>
      <c r="G42" s="8"/>
      <c r="H42" s="8"/>
      <c r="I42" s="8"/>
      <c r="J42" s="8"/>
      <c r="K42" s="8"/>
      <c r="L42" s="8"/>
      <c r="M42" s="8"/>
      <c r="N42" s="8"/>
      <c r="O42" s="8"/>
      <c r="P42" s="8"/>
      <c r="Q42" s="8"/>
      <c r="R42" s="8"/>
    </row>
    <row r="43" spans="3:18" x14ac:dyDescent="0.2">
      <c r="C43" s="8"/>
      <c r="D43" s="8"/>
      <c r="E43" s="8"/>
      <c r="F43" s="8"/>
      <c r="G43" s="8"/>
      <c r="H43" s="8"/>
      <c r="I43" s="8"/>
      <c r="J43" s="8"/>
      <c r="K43" s="8"/>
      <c r="L43" s="8"/>
      <c r="M43" s="8"/>
      <c r="N43" s="8"/>
      <c r="O43" s="8"/>
      <c r="P43" s="8"/>
      <c r="Q43" s="8"/>
      <c r="R43" s="8"/>
    </row>
    <row r="44" spans="3:18" x14ac:dyDescent="0.2">
      <c r="C44" s="8"/>
      <c r="D44" s="8"/>
      <c r="E44" s="8"/>
      <c r="F44" s="8"/>
      <c r="G44" s="8"/>
      <c r="H44" s="8"/>
      <c r="I44" s="8"/>
      <c r="J44" s="8"/>
      <c r="K44" s="8"/>
      <c r="L44" s="8"/>
      <c r="M44" s="8"/>
      <c r="N44" s="8"/>
      <c r="O44" s="8"/>
      <c r="P44" s="8"/>
      <c r="Q44" s="8"/>
      <c r="R44" s="8"/>
    </row>
    <row r="45" spans="3:18" x14ac:dyDescent="0.2">
      <c r="C45" s="8"/>
      <c r="D45" s="8"/>
      <c r="E45" s="8"/>
      <c r="F45" s="8"/>
      <c r="G45" s="8"/>
      <c r="H45" s="8"/>
      <c r="I45" s="8"/>
      <c r="J45" s="8"/>
      <c r="K45" s="8"/>
      <c r="L45" s="8"/>
      <c r="M45" s="8"/>
      <c r="N45" s="8"/>
      <c r="O45" s="8"/>
      <c r="P45" s="8"/>
      <c r="Q45" s="8"/>
      <c r="R45" s="8"/>
    </row>
    <row r="46" spans="3:18" x14ac:dyDescent="0.2">
      <c r="C46" s="8"/>
      <c r="D46" s="8"/>
      <c r="E46" s="8"/>
      <c r="F46" s="8"/>
      <c r="G46" s="8"/>
      <c r="H46" s="8"/>
      <c r="I46" s="8"/>
      <c r="J46" s="8"/>
      <c r="K46" s="8"/>
      <c r="L46" s="8"/>
      <c r="M46" s="8"/>
      <c r="N46" s="8"/>
      <c r="O46" s="8"/>
      <c r="P46" s="8"/>
      <c r="Q46" s="8"/>
      <c r="R46" s="8"/>
    </row>
    <row r="47" spans="3:18" x14ac:dyDescent="0.2">
      <c r="C47" s="8"/>
      <c r="D47" s="8"/>
      <c r="E47" s="8"/>
      <c r="F47" s="8"/>
      <c r="G47" s="8"/>
      <c r="H47" s="8"/>
      <c r="I47" s="8"/>
      <c r="J47" s="8"/>
      <c r="K47" s="8"/>
      <c r="L47" s="8"/>
      <c r="M47" s="8"/>
      <c r="N47" s="8"/>
      <c r="O47" s="8"/>
      <c r="P47" s="8"/>
      <c r="Q47" s="8"/>
      <c r="R47" s="8"/>
    </row>
    <row r="48" spans="3:18" x14ac:dyDescent="0.2">
      <c r="C48" s="8"/>
      <c r="D48" s="8"/>
      <c r="E48" s="8"/>
      <c r="F48" s="8"/>
      <c r="G48" s="8"/>
      <c r="H48" s="8"/>
      <c r="I48" s="8"/>
      <c r="J48" s="8"/>
      <c r="K48" s="8"/>
      <c r="L48" s="8"/>
      <c r="M48" s="8"/>
      <c r="N48" s="8"/>
      <c r="O48" s="8"/>
      <c r="P48" s="8"/>
      <c r="Q48" s="8"/>
      <c r="R48" s="8"/>
    </row>
    <row r="49" spans="3:18" x14ac:dyDescent="0.2">
      <c r="C49" s="8"/>
      <c r="D49" s="8"/>
      <c r="E49" s="8"/>
      <c r="F49" s="8"/>
      <c r="G49" s="8"/>
      <c r="H49" s="8"/>
      <c r="I49" s="8"/>
      <c r="J49" s="8"/>
      <c r="K49" s="8"/>
      <c r="L49" s="8"/>
      <c r="M49" s="8"/>
      <c r="N49" s="8"/>
      <c r="O49" s="8"/>
      <c r="P49" s="8"/>
      <c r="Q49" s="8"/>
      <c r="R49" s="8"/>
    </row>
    <row r="50" spans="3:18" x14ac:dyDescent="0.2">
      <c r="C50" s="8"/>
      <c r="D50" s="8"/>
      <c r="E50" s="8"/>
      <c r="F50" s="8"/>
      <c r="G50" s="8"/>
      <c r="H50" s="8"/>
      <c r="I50" s="8"/>
      <c r="J50" s="8"/>
      <c r="K50" s="8"/>
      <c r="L50" s="8"/>
      <c r="M50" s="8"/>
      <c r="N50" s="8"/>
      <c r="O50" s="8"/>
      <c r="P50" s="8"/>
      <c r="Q50" s="8"/>
      <c r="R50" s="8"/>
    </row>
    <row r="51" spans="3:18" x14ac:dyDescent="0.2">
      <c r="C51" s="8"/>
      <c r="D51" s="8"/>
      <c r="E51" s="8"/>
      <c r="F51" s="8"/>
      <c r="G51" s="8"/>
      <c r="H51" s="8"/>
      <c r="I51" s="8"/>
      <c r="J51" s="8"/>
      <c r="K51" s="8"/>
      <c r="L51" s="8"/>
      <c r="M51" s="8"/>
      <c r="N51" s="8"/>
      <c r="O51" s="8"/>
      <c r="P51" s="8"/>
      <c r="Q51" s="8"/>
      <c r="R51" s="8"/>
    </row>
    <row r="52" spans="3:18" x14ac:dyDescent="0.2">
      <c r="C52" s="8"/>
      <c r="D52" s="8"/>
      <c r="E52" s="8"/>
      <c r="F52" s="8"/>
      <c r="G52" s="8"/>
      <c r="H52" s="8"/>
      <c r="I52" s="8"/>
      <c r="J52" s="8"/>
      <c r="K52" s="8"/>
      <c r="L52" s="8"/>
      <c r="M52" s="8"/>
      <c r="N52" s="8"/>
      <c r="O52" s="8"/>
      <c r="P52" s="8"/>
      <c r="Q52" s="8"/>
      <c r="R52" s="8"/>
    </row>
    <row r="53" spans="3:18" x14ac:dyDescent="0.2">
      <c r="C53" s="8"/>
      <c r="D53" s="8"/>
      <c r="E53" s="8"/>
      <c r="F53" s="8"/>
      <c r="G53" s="8"/>
      <c r="H53" s="8"/>
      <c r="I53" s="8"/>
      <c r="J53" s="8"/>
      <c r="K53" s="8"/>
      <c r="L53" s="8"/>
      <c r="M53" s="8"/>
      <c r="N53" s="8"/>
      <c r="O53" s="8"/>
      <c r="P53" s="8"/>
      <c r="Q53" s="8"/>
      <c r="R53" s="8"/>
    </row>
    <row r="54" spans="3:18" x14ac:dyDescent="0.2">
      <c r="C54" s="8"/>
      <c r="D54" s="8"/>
      <c r="E54" s="8"/>
      <c r="F54" s="8"/>
      <c r="G54" s="8"/>
      <c r="H54" s="8"/>
      <c r="I54" s="8"/>
      <c r="J54" s="8"/>
      <c r="K54" s="8"/>
      <c r="L54" s="8"/>
      <c r="M54" s="8"/>
      <c r="N54" s="8"/>
      <c r="O54" s="8"/>
      <c r="P54" s="8"/>
      <c r="Q54" s="8"/>
      <c r="R54" s="8"/>
    </row>
    <row r="55" spans="3:18" x14ac:dyDescent="0.2">
      <c r="C55" s="8"/>
      <c r="D55" s="8"/>
      <c r="E55" s="8"/>
      <c r="F55" s="8"/>
      <c r="G55" s="8"/>
      <c r="H55" s="8"/>
      <c r="I55" s="8"/>
      <c r="J55" s="8"/>
      <c r="K55" s="8"/>
      <c r="L55" s="8"/>
      <c r="M55" s="8"/>
      <c r="N55" s="8"/>
      <c r="O55" s="8"/>
      <c r="P55" s="8"/>
      <c r="Q55" s="8"/>
      <c r="R55" s="8"/>
    </row>
    <row r="56" spans="3:18" x14ac:dyDescent="0.2">
      <c r="C56" s="8"/>
      <c r="D56" s="8"/>
      <c r="E56" s="8"/>
      <c r="F56" s="8"/>
      <c r="G56" s="8"/>
      <c r="H56" s="8"/>
      <c r="I56" s="8"/>
      <c r="J56" s="8"/>
      <c r="K56" s="8"/>
      <c r="L56" s="8"/>
      <c r="M56" s="8"/>
      <c r="N56" s="8"/>
      <c r="O56" s="8"/>
      <c r="P56" s="8"/>
      <c r="Q56" s="8"/>
      <c r="R56" s="8"/>
    </row>
    <row r="57" spans="3:18" x14ac:dyDescent="0.2">
      <c r="C57" s="8"/>
      <c r="D57" s="8"/>
      <c r="E57" s="8"/>
      <c r="F57" s="8"/>
      <c r="G57" s="8"/>
      <c r="H57" s="8"/>
      <c r="I57" s="8"/>
      <c r="J57" s="8"/>
      <c r="K57" s="8"/>
      <c r="L57" s="8"/>
      <c r="M57" s="8"/>
      <c r="N57" s="8"/>
      <c r="O57" s="8"/>
      <c r="P57" s="8"/>
      <c r="Q57" s="8"/>
      <c r="R57" s="8"/>
    </row>
    <row r="58" spans="3:18" x14ac:dyDescent="0.2">
      <c r="C58" s="8"/>
      <c r="D58" s="8"/>
      <c r="E58" s="8"/>
      <c r="F58" s="8"/>
      <c r="G58" s="8"/>
      <c r="H58" s="8"/>
      <c r="I58" s="8"/>
      <c r="J58" s="8"/>
      <c r="K58" s="8"/>
      <c r="L58" s="8"/>
      <c r="M58" s="8"/>
      <c r="N58" s="8"/>
      <c r="O58" s="8"/>
      <c r="P58" s="8"/>
      <c r="Q58" s="8"/>
      <c r="R58" s="8"/>
    </row>
    <row r="59" spans="3:18" x14ac:dyDescent="0.2">
      <c r="C59" s="8"/>
      <c r="D59" s="8"/>
      <c r="E59" s="8"/>
      <c r="F59" s="8"/>
      <c r="G59" s="8"/>
      <c r="H59" s="8"/>
      <c r="I59" s="8"/>
      <c r="J59" s="8"/>
      <c r="K59" s="8"/>
      <c r="L59" s="8"/>
      <c r="M59" s="8"/>
      <c r="N59" s="8"/>
      <c r="O59" s="8"/>
      <c r="P59" s="8"/>
      <c r="Q59" s="8"/>
      <c r="R59" s="8"/>
    </row>
    <row r="60" spans="3:18" x14ac:dyDescent="0.2">
      <c r="C60" s="8"/>
      <c r="D60" s="8"/>
      <c r="E60" s="8"/>
      <c r="F60" s="8"/>
      <c r="G60" s="8"/>
      <c r="H60" s="8"/>
      <c r="I60" s="8"/>
      <c r="J60" s="8"/>
      <c r="K60" s="8"/>
      <c r="L60" s="8"/>
      <c r="M60" s="8"/>
      <c r="N60" s="8"/>
      <c r="O60" s="8"/>
      <c r="P60" s="8"/>
      <c r="Q60" s="8"/>
      <c r="R60" s="8"/>
    </row>
    <row r="61" spans="3:18" x14ac:dyDescent="0.2">
      <c r="C61" s="8"/>
      <c r="D61" s="8"/>
      <c r="E61" s="8"/>
      <c r="F61" s="8"/>
      <c r="G61" s="8"/>
      <c r="H61" s="8"/>
      <c r="I61" s="8"/>
      <c r="J61" s="8"/>
      <c r="K61" s="8"/>
      <c r="L61" s="8"/>
      <c r="M61" s="8"/>
      <c r="N61" s="8"/>
      <c r="O61" s="8"/>
      <c r="P61" s="8"/>
      <c r="Q61" s="8"/>
      <c r="R61" s="8"/>
    </row>
    <row r="62" spans="3:18" x14ac:dyDescent="0.2">
      <c r="C62" s="8"/>
      <c r="D62" s="8"/>
      <c r="E62" s="8"/>
      <c r="F62" s="8"/>
      <c r="G62" s="8"/>
      <c r="H62" s="8"/>
      <c r="I62" s="8"/>
      <c r="J62" s="8"/>
      <c r="K62" s="8"/>
      <c r="L62" s="8"/>
      <c r="M62" s="8"/>
      <c r="N62" s="8"/>
      <c r="O62" s="8"/>
      <c r="P62" s="8"/>
      <c r="Q62" s="8"/>
      <c r="R62" s="8"/>
    </row>
    <row r="63" spans="3:18" x14ac:dyDescent="0.2">
      <c r="C63" s="8"/>
      <c r="D63" s="8"/>
      <c r="E63" s="8"/>
      <c r="F63" s="8"/>
      <c r="G63" s="8"/>
      <c r="H63" s="8"/>
      <c r="I63" s="8"/>
      <c r="J63" s="8"/>
      <c r="K63" s="8"/>
      <c r="L63" s="8"/>
      <c r="M63" s="8"/>
      <c r="N63" s="8"/>
      <c r="O63" s="8"/>
      <c r="P63" s="8"/>
      <c r="Q63" s="8"/>
      <c r="R63" s="8"/>
    </row>
    <row r="64" spans="3:18" x14ac:dyDescent="0.2">
      <c r="C64" s="8"/>
      <c r="D64" s="8"/>
      <c r="E64" s="8"/>
      <c r="F64" s="8"/>
      <c r="G64" s="8"/>
      <c r="H64" s="8"/>
      <c r="I64" s="8"/>
      <c r="J64" s="8"/>
      <c r="K64" s="8"/>
      <c r="L64" s="8"/>
      <c r="M64" s="8"/>
      <c r="N64" s="8"/>
      <c r="O64" s="8"/>
      <c r="P64" s="8"/>
      <c r="Q64" s="8"/>
      <c r="R64" s="8"/>
    </row>
    <row r="65" spans="3:18" x14ac:dyDescent="0.2">
      <c r="C65" s="8"/>
      <c r="D65" s="8"/>
      <c r="E65" s="8"/>
      <c r="F65" s="8"/>
      <c r="G65" s="8"/>
      <c r="H65" s="8"/>
      <c r="I65" s="8"/>
      <c r="J65" s="8"/>
      <c r="K65" s="8"/>
      <c r="L65" s="8"/>
      <c r="M65" s="8"/>
      <c r="N65" s="8"/>
      <c r="O65" s="8"/>
      <c r="P65" s="8"/>
      <c r="Q65" s="8"/>
      <c r="R65" s="8"/>
    </row>
    <row r="66" spans="3:18" x14ac:dyDescent="0.2">
      <c r="C66" s="8"/>
      <c r="D66" s="8"/>
      <c r="E66" s="8"/>
      <c r="F66" s="8"/>
      <c r="G66" s="8"/>
      <c r="H66" s="8"/>
      <c r="I66" s="8"/>
      <c r="J66" s="8"/>
      <c r="K66" s="8"/>
      <c r="L66" s="8"/>
      <c r="M66" s="8"/>
      <c r="N66" s="8"/>
      <c r="O66" s="8"/>
      <c r="P66" s="8"/>
      <c r="Q66" s="8"/>
      <c r="R66" s="8"/>
    </row>
    <row r="67" spans="3:18" x14ac:dyDescent="0.2">
      <c r="C67" s="8"/>
      <c r="D67" s="8"/>
      <c r="E67" s="8"/>
      <c r="F67" s="8"/>
      <c r="G67" s="8"/>
      <c r="H67" s="8"/>
      <c r="I67" s="8"/>
      <c r="J67" s="8"/>
      <c r="K67" s="8"/>
      <c r="L67" s="8"/>
      <c r="M67" s="8"/>
      <c r="N67" s="8"/>
      <c r="O67" s="8"/>
      <c r="P67" s="8"/>
      <c r="Q67" s="8"/>
      <c r="R67" s="8"/>
    </row>
    <row r="68" spans="3:18" x14ac:dyDescent="0.2">
      <c r="C68" s="8"/>
      <c r="D68" s="8"/>
      <c r="E68" s="8"/>
      <c r="F68" s="8"/>
      <c r="G68" s="8"/>
      <c r="H68" s="8"/>
      <c r="I68" s="8"/>
      <c r="J68" s="8"/>
      <c r="K68" s="8"/>
      <c r="L68" s="8"/>
      <c r="M68" s="8"/>
      <c r="N68" s="8"/>
      <c r="O68" s="8"/>
      <c r="P68" s="8"/>
      <c r="Q68" s="8"/>
      <c r="R68" s="8"/>
    </row>
    <row r="69" spans="3:18" x14ac:dyDescent="0.2">
      <c r="C69" s="8"/>
      <c r="D69" s="8"/>
      <c r="E69" s="8"/>
      <c r="F69" s="8"/>
      <c r="G69" s="8"/>
      <c r="H69" s="8"/>
      <c r="I69" s="8"/>
      <c r="J69" s="8"/>
      <c r="K69" s="8"/>
      <c r="L69" s="8"/>
      <c r="M69" s="8"/>
      <c r="N69" s="8"/>
      <c r="O69" s="8"/>
      <c r="P69" s="8"/>
      <c r="Q69" s="8"/>
      <c r="R69" s="8"/>
    </row>
    <row r="70" spans="3:18" x14ac:dyDescent="0.2">
      <c r="C70" s="8"/>
      <c r="D70" s="8"/>
      <c r="E70" s="8"/>
      <c r="F70" s="8"/>
      <c r="G70" s="8"/>
      <c r="H70" s="8"/>
      <c r="I70" s="8"/>
      <c r="J70" s="8"/>
      <c r="K70" s="8"/>
      <c r="L70" s="8"/>
      <c r="M70" s="8"/>
      <c r="N70" s="8"/>
      <c r="O70" s="8"/>
      <c r="P70" s="8"/>
      <c r="Q70" s="8"/>
      <c r="R70" s="8"/>
    </row>
    <row r="71" spans="3:18" x14ac:dyDescent="0.2">
      <c r="C71" s="8"/>
      <c r="D71" s="8"/>
      <c r="E71" s="8"/>
      <c r="F71" s="8"/>
      <c r="G71" s="8"/>
      <c r="H71" s="8"/>
      <c r="I71" s="8"/>
      <c r="J71" s="8"/>
      <c r="K71" s="8"/>
      <c r="L71" s="8"/>
      <c r="M71" s="8"/>
      <c r="N71" s="8"/>
      <c r="O71" s="8"/>
      <c r="P71" s="8"/>
      <c r="Q71" s="8"/>
      <c r="R71" s="8"/>
    </row>
    <row r="72" spans="3:18" x14ac:dyDescent="0.2">
      <c r="C72" s="8"/>
      <c r="D72" s="8"/>
      <c r="E72" s="8"/>
      <c r="F72" s="8"/>
      <c r="G72" s="8"/>
      <c r="H72" s="8"/>
      <c r="I72" s="8"/>
      <c r="J72" s="8"/>
      <c r="K72" s="8"/>
      <c r="L72" s="8"/>
      <c r="M72" s="8"/>
      <c r="N72" s="8"/>
      <c r="O72" s="8"/>
      <c r="P72" s="8"/>
      <c r="Q72" s="8"/>
      <c r="R72" s="8"/>
    </row>
    <row r="73" spans="3:18" x14ac:dyDescent="0.2">
      <c r="C73" s="8"/>
      <c r="D73" s="8"/>
      <c r="E73" s="8"/>
      <c r="F73" s="8"/>
      <c r="G73" s="8"/>
      <c r="H73" s="8"/>
      <c r="I73" s="8"/>
      <c r="J73" s="8"/>
      <c r="K73" s="8"/>
      <c r="L73" s="8"/>
      <c r="M73" s="8"/>
      <c r="N73" s="8"/>
      <c r="O73" s="8"/>
      <c r="P73" s="8"/>
      <c r="Q73" s="8"/>
      <c r="R73" s="8"/>
    </row>
    <row r="74" spans="3:18" x14ac:dyDescent="0.2">
      <c r="C74" s="8"/>
      <c r="D74" s="8"/>
      <c r="E74" s="8"/>
      <c r="F74" s="8"/>
      <c r="G74" s="8"/>
      <c r="H74" s="8"/>
      <c r="I74" s="8"/>
      <c r="J74" s="8"/>
      <c r="K74" s="8"/>
      <c r="L74" s="8"/>
      <c r="M74" s="8"/>
      <c r="N74" s="8"/>
      <c r="O74" s="8"/>
      <c r="P74" s="8"/>
      <c r="Q74" s="8"/>
      <c r="R74" s="8"/>
    </row>
    <row r="75" spans="3:18" x14ac:dyDescent="0.2">
      <c r="C75" s="8"/>
      <c r="D75" s="8"/>
      <c r="E75" s="8"/>
      <c r="F75" s="8"/>
      <c r="G75" s="8"/>
      <c r="H75" s="8"/>
      <c r="I75" s="8"/>
      <c r="J75" s="8"/>
      <c r="K75" s="8"/>
      <c r="L75" s="8"/>
      <c r="M75" s="8"/>
      <c r="N75" s="8"/>
      <c r="O75" s="8"/>
      <c r="P75" s="8"/>
      <c r="Q75" s="8"/>
      <c r="R75" s="8"/>
    </row>
    <row r="76" spans="3:18" x14ac:dyDescent="0.2">
      <c r="C76" s="8"/>
      <c r="D76" s="8"/>
      <c r="E76" s="8"/>
      <c r="F76" s="8"/>
      <c r="G76" s="8"/>
      <c r="H76" s="8"/>
      <c r="I76" s="8"/>
      <c r="J76" s="8"/>
      <c r="K76" s="8"/>
      <c r="L76" s="8"/>
      <c r="M76" s="8"/>
      <c r="N76" s="8"/>
      <c r="O76" s="8"/>
      <c r="P76" s="8"/>
      <c r="Q76" s="8"/>
      <c r="R76" s="8"/>
    </row>
    <row r="77" spans="3:18" x14ac:dyDescent="0.2">
      <c r="C77" s="8"/>
      <c r="D77" s="8"/>
      <c r="E77" s="8"/>
      <c r="F77" s="8"/>
      <c r="G77" s="8"/>
      <c r="H77" s="8"/>
      <c r="I77" s="8"/>
      <c r="J77" s="8"/>
      <c r="K77" s="8"/>
      <c r="L77" s="8"/>
      <c r="M77" s="8"/>
      <c r="N77" s="8"/>
      <c r="O77" s="8"/>
      <c r="P77" s="8"/>
      <c r="Q77" s="8"/>
      <c r="R77" s="8"/>
    </row>
    <row r="78" spans="3:18" x14ac:dyDescent="0.2">
      <c r="C78" s="8"/>
      <c r="D78" s="8"/>
      <c r="E78" s="8"/>
      <c r="F78" s="8"/>
      <c r="G78" s="8"/>
      <c r="H78" s="8"/>
      <c r="I78" s="8"/>
      <c r="J78" s="8"/>
      <c r="K78" s="8"/>
      <c r="L78" s="8"/>
      <c r="M78" s="8"/>
      <c r="N78" s="8"/>
      <c r="O78" s="8"/>
      <c r="P78" s="8"/>
      <c r="Q78" s="8"/>
      <c r="R78" s="8"/>
    </row>
    <row r="79" spans="3:18" x14ac:dyDescent="0.2">
      <c r="C79" s="8"/>
      <c r="D79" s="8"/>
      <c r="E79" s="8"/>
      <c r="F79" s="8"/>
      <c r="G79" s="8"/>
      <c r="H79" s="8"/>
      <c r="I79" s="8"/>
      <c r="J79" s="8"/>
      <c r="K79" s="8"/>
      <c r="L79" s="8"/>
      <c r="M79" s="8"/>
      <c r="N79" s="8"/>
      <c r="O79" s="8"/>
      <c r="P79" s="8"/>
      <c r="Q79" s="8"/>
      <c r="R79" s="8"/>
    </row>
    <row r="80" spans="3:18" x14ac:dyDescent="0.2">
      <c r="C80" s="8"/>
      <c r="D80" s="8"/>
      <c r="E80" s="8"/>
      <c r="F80" s="8"/>
      <c r="G80" s="8"/>
      <c r="H80" s="8"/>
      <c r="I80" s="8"/>
      <c r="J80" s="8"/>
      <c r="K80" s="8"/>
      <c r="L80" s="8"/>
      <c r="M80" s="8"/>
      <c r="N80" s="8"/>
      <c r="O80" s="8"/>
      <c r="P80" s="8"/>
      <c r="Q80" s="8"/>
      <c r="R80" s="8"/>
    </row>
    <row r="81" spans="3:18" x14ac:dyDescent="0.2">
      <c r="C81" s="8"/>
      <c r="D81" s="8"/>
      <c r="E81" s="8"/>
      <c r="F81" s="8"/>
      <c r="G81" s="8"/>
      <c r="H81" s="8"/>
      <c r="I81" s="8"/>
      <c r="J81" s="8"/>
      <c r="K81" s="8"/>
      <c r="L81" s="8"/>
      <c r="M81" s="8"/>
      <c r="N81" s="8"/>
      <c r="O81" s="8"/>
      <c r="P81" s="8"/>
      <c r="Q81" s="8"/>
      <c r="R81" s="8"/>
    </row>
    <row r="82" spans="3:18" x14ac:dyDescent="0.2">
      <c r="C82" s="8"/>
      <c r="D82" s="8"/>
      <c r="E82" s="8"/>
      <c r="F82" s="8"/>
      <c r="G82" s="8"/>
      <c r="H82" s="8"/>
      <c r="I82" s="8"/>
      <c r="J82" s="8"/>
      <c r="K82" s="8"/>
      <c r="L82" s="8"/>
      <c r="M82" s="8"/>
      <c r="N82" s="8"/>
      <c r="O82" s="8"/>
      <c r="P82" s="8"/>
      <c r="Q82" s="8"/>
      <c r="R82" s="8"/>
    </row>
    <row r="83" spans="3:18" x14ac:dyDescent="0.2">
      <c r="C83" s="8"/>
      <c r="D83" s="8"/>
      <c r="E83" s="8"/>
      <c r="F83" s="8"/>
      <c r="G83" s="8"/>
      <c r="H83" s="8"/>
      <c r="I83" s="8"/>
      <c r="J83" s="8"/>
      <c r="K83" s="8"/>
      <c r="L83" s="8"/>
      <c r="M83" s="8"/>
      <c r="N83" s="8"/>
      <c r="O83" s="8"/>
      <c r="P83" s="8"/>
      <c r="Q83" s="8"/>
      <c r="R83" s="8"/>
    </row>
    <row r="84" spans="3:18" x14ac:dyDescent="0.2">
      <c r="C84" s="8"/>
      <c r="D84" s="8"/>
      <c r="E84" s="8"/>
      <c r="F84" s="8"/>
      <c r="G84" s="8"/>
      <c r="H84" s="8"/>
      <c r="I84" s="8"/>
      <c r="J84" s="8"/>
      <c r="K84" s="8"/>
      <c r="L84" s="8"/>
      <c r="M84" s="8"/>
      <c r="N84" s="8"/>
      <c r="O84" s="8"/>
      <c r="P84" s="8"/>
      <c r="Q84" s="8"/>
      <c r="R84" s="8"/>
    </row>
    <row r="85" spans="3:18" x14ac:dyDescent="0.2">
      <c r="C85" s="8"/>
      <c r="D85" s="8"/>
      <c r="E85" s="8"/>
      <c r="F85" s="8"/>
      <c r="G85" s="8"/>
      <c r="H85" s="8"/>
      <c r="I85" s="8"/>
      <c r="J85" s="8"/>
      <c r="K85" s="8"/>
      <c r="L85" s="8"/>
      <c r="M85" s="8"/>
      <c r="N85" s="8"/>
      <c r="O85" s="8"/>
      <c r="P85" s="8"/>
      <c r="Q85" s="8"/>
      <c r="R85" s="8"/>
    </row>
    <row r="86" spans="3:18" x14ac:dyDescent="0.2">
      <c r="C86" s="8"/>
      <c r="D86" s="8"/>
      <c r="E86" s="8"/>
      <c r="F86" s="8"/>
      <c r="G86" s="8"/>
      <c r="H86" s="8"/>
      <c r="I86" s="8"/>
      <c r="J86" s="8"/>
      <c r="K86" s="8"/>
      <c r="L86" s="8"/>
      <c r="M86" s="8"/>
      <c r="N86" s="8"/>
      <c r="O86" s="8"/>
      <c r="P86" s="8"/>
      <c r="Q86" s="8"/>
      <c r="R86" s="8"/>
    </row>
    <row r="87" spans="3:18" x14ac:dyDescent="0.2">
      <c r="C87" s="8"/>
      <c r="D87" s="8"/>
      <c r="E87" s="8"/>
      <c r="F87" s="8"/>
      <c r="G87" s="8"/>
      <c r="H87" s="8"/>
      <c r="I87" s="8"/>
      <c r="J87" s="8"/>
      <c r="K87" s="8"/>
      <c r="L87" s="8"/>
      <c r="M87" s="8"/>
      <c r="N87" s="8"/>
      <c r="O87" s="8"/>
      <c r="P87" s="8"/>
      <c r="Q87" s="8"/>
      <c r="R87" s="8"/>
    </row>
    <row r="88" spans="3:18" x14ac:dyDescent="0.2">
      <c r="C88" s="8"/>
      <c r="D88" s="8"/>
      <c r="E88" s="8"/>
      <c r="F88" s="8"/>
      <c r="G88" s="8"/>
      <c r="H88" s="8"/>
      <c r="I88" s="8"/>
      <c r="J88" s="8"/>
      <c r="K88" s="8"/>
      <c r="L88" s="8"/>
      <c r="M88" s="8"/>
      <c r="N88" s="8"/>
      <c r="O88" s="8"/>
      <c r="P88" s="8"/>
      <c r="Q88" s="8"/>
      <c r="R88" s="8"/>
    </row>
    <row r="89" spans="3:18" x14ac:dyDescent="0.2">
      <c r="C89" s="8"/>
      <c r="D89" s="8"/>
      <c r="E89" s="8"/>
      <c r="F89" s="8"/>
      <c r="G89" s="8"/>
      <c r="H89" s="8"/>
      <c r="I89" s="8"/>
      <c r="J89" s="8"/>
      <c r="K89" s="8"/>
      <c r="L89" s="8"/>
      <c r="M89" s="8"/>
      <c r="N89" s="8"/>
      <c r="O89" s="8"/>
      <c r="P89" s="8"/>
      <c r="Q89" s="8"/>
      <c r="R89" s="8"/>
    </row>
    <row r="90" spans="3:18" x14ac:dyDescent="0.2">
      <c r="C90" s="8"/>
      <c r="D90" s="8"/>
      <c r="E90" s="8"/>
      <c r="F90" s="8"/>
      <c r="G90" s="8"/>
      <c r="H90" s="8"/>
      <c r="I90" s="8"/>
      <c r="J90" s="8"/>
      <c r="K90" s="8"/>
      <c r="L90" s="8"/>
      <c r="M90" s="8"/>
      <c r="N90" s="8"/>
      <c r="O90" s="8"/>
      <c r="P90" s="8"/>
      <c r="Q90" s="8"/>
      <c r="R90" s="8"/>
    </row>
    <row r="91" spans="3:18" x14ac:dyDescent="0.2">
      <c r="C91" s="8"/>
      <c r="D91" s="8"/>
      <c r="E91" s="8"/>
      <c r="F91" s="8"/>
      <c r="G91" s="8"/>
      <c r="H91" s="8"/>
      <c r="I91" s="8"/>
      <c r="J91" s="8"/>
      <c r="K91" s="8"/>
      <c r="L91" s="8"/>
      <c r="M91" s="8"/>
      <c r="N91" s="8"/>
      <c r="O91" s="8"/>
      <c r="P91" s="8"/>
      <c r="Q91" s="8"/>
      <c r="R91" s="8"/>
    </row>
    <row r="92" spans="3:18" x14ac:dyDescent="0.2">
      <c r="C92" s="8"/>
      <c r="D92" s="8"/>
      <c r="E92" s="8"/>
      <c r="F92" s="8"/>
      <c r="G92" s="8"/>
      <c r="H92" s="8"/>
      <c r="I92" s="8"/>
      <c r="J92" s="8"/>
      <c r="K92" s="8"/>
      <c r="L92" s="8"/>
      <c r="M92" s="8"/>
      <c r="N92" s="8"/>
      <c r="O92" s="8"/>
      <c r="P92" s="8"/>
      <c r="Q92" s="8"/>
      <c r="R92" s="8"/>
    </row>
    <row r="93" spans="3:18" x14ac:dyDescent="0.2">
      <c r="C93" s="8"/>
      <c r="D93" s="8"/>
      <c r="E93" s="8"/>
      <c r="F93" s="8"/>
      <c r="G93" s="8"/>
      <c r="H93" s="8"/>
      <c r="I93" s="8"/>
      <c r="J93" s="8"/>
      <c r="K93" s="8"/>
      <c r="L93" s="8"/>
      <c r="M93" s="8"/>
      <c r="N93" s="8"/>
      <c r="O93" s="8"/>
      <c r="P93" s="8"/>
      <c r="Q93" s="8"/>
      <c r="R93" s="8"/>
    </row>
    <row r="94" spans="3:18" x14ac:dyDescent="0.2">
      <c r="C94" s="8"/>
      <c r="D94" s="8"/>
      <c r="E94" s="8"/>
      <c r="F94" s="8"/>
      <c r="G94" s="8"/>
      <c r="H94" s="8"/>
      <c r="I94" s="8"/>
      <c r="J94" s="8"/>
      <c r="K94" s="8"/>
      <c r="L94" s="8"/>
      <c r="M94" s="8"/>
      <c r="N94" s="8"/>
      <c r="O94" s="8"/>
      <c r="P94" s="8"/>
      <c r="Q94" s="8"/>
      <c r="R94" s="8"/>
    </row>
    <row r="95" spans="3:18" x14ac:dyDescent="0.2">
      <c r="C95" s="8"/>
      <c r="D95" s="8"/>
      <c r="E95" s="8"/>
      <c r="F95" s="8"/>
      <c r="G95" s="8"/>
      <c r="H95" s="8"/>
      <c r="I95" s="8"/>
      <c r="J95" s="8"/>
      <c r="K95" s="8"/>
      <c r="L95" s="8"/>
      <c r="M95" s="8"/>
      <c r="N95" s="8"/>
      <c r="O95" s="8"/>
      <c r="P95" s="8"/>
      <c r="Q95" s="8"/>
      <c r="R95" s="8"/>
    </row>
    <row r="96" spans="3:18" x14ac:dyDescent="0.2">
      <c r="C96" s="8"/>
      <c r="D96" s="8"/>
      <c r="E96" s="8"/>
      <c r="F96" s="8"/>
      <c r="G96" s="8"/>
      <c r="H96" s="8"/>
      <c r="I96" s="8"/>
      <c r="J96" s="8"/>
      <c r="K96" s="8"/>
      <c r="L96" s="8"/>
      <c r="M96" s="8"/>
      <c r="N96" s="8"/>
      <c r="O96" s="8"/>
      <c r="P96" s="8"/>
      <c r="Q96" s="8"/>
      <c r="R96" s="8"/>
    </row>
    <row r="97" spans="3:18" x14ac:dyDescent="0.2">
      <c r="C97" s="8"/>
      <c r="D97" s="8"/>
      <c r="E97" s="8"/>
      <c r="F97" s="8"/>
      <c r="G97" s="8"/>
      <c r="H97" s="8"/>
      <c r="I97" s="8"/>
      <c r="J97" s="8"/>
      <c r="K97" s="8"/>
      <c r="L97" s="8"/>
      <c r="M97" s="8"/>
      <c r="N97" s="8"/>
      <c r="O97" s="8"/>
      <c r="P97" s="8"/>
      <c r="Q97" s="8"/>
      <c r="R97" s="8"/>
    </row>
    <row r="98" spans="3:18" x14ac:dyDescent="0.2">
      <c r="C98" s="8"/>
      <c r="D98" s="8"/>
      <c r="E98" s="8"/>
      <c r="F98" s="8"/>
      <c r="G98" s="8"/>
      <c r="H98" s="8"/>
      <c r="I98" s="8"/>
      <c r="J98" s="8"/>
      <c r="K98" s="8"/>
      <c r="L98" s="8"/>
      <c r="M98" s="8"/>
      <c r="N98" s="8"/>
      <c r="O98" s="8"/>
      <c r="P98" s="8"/>
      <c r="Q98" s="8"/>
      <c r="R98" s="8"/>
    </row>
    <row r="99" spans="3:18" x14ac:dyDescent="0.2">
      <c r="C99" s="8"/>
      <c r="D99" s="8"/>
      <c r="E99" s="8"/>
      <c r="F99" s="8"/>
      <c r="G99" s="8"/>
      <c r="H99" s="8"/>
      <c r="I99" s="8"/>
      <c r="J99" s="8"/>
      <c r="K99" s="8"/>
      <c r="L99" s="8"/>
      <c r="M99" s="8"/>
      <c r="N99" s="8"/>
      <c r="O99" s="8"/>
      <c r="P99" s="8"/>
      <c r="Q99" s="8"/>
      <c r="R99" s="8"/>
    </row>
    <row r="100" spans="3:18" x14ac:dyDescent="0.2">
      <c r="C100" s="8"/>
      <c r="D100" s="8"/>
      <c r="E100" s="8"/>
      <c r="F100" s="8"/>
      <c r="G100" s="8"/>
      <c r="H100" s="8"/>
      <c r="I100" s="8"/>
      <c r="J100" s="8"/>
      <c r="K100" s="8"/>
      <c r="L100" s="8"/>
      <c r="M100" s="8"/>
      <c r="N100" s="8"/>
      <c r="O100" s="8"/>
      <c r="P100" s="8"/>
      <c r="Q100" s="8"/>
      <c r="R100" s="8"/>
    </row>
    <row r="101" spans="3:18" x14ac:dyDescent="0.2">
      <c r="C101" s="8"/>
      <c r="D101" s="8"/>
      <c r="E101" s="8"/>
      <c r="F101" s="8"/>
      <c r="G101" s="8"/>
      <c r="H101" s="8"/>
      <c r="I101" s="8"/>
      <c r="J101" s="8"/>
      <c r="K101" s="8"/>
      <c r="L101" s="8"/>
      <c r="M101" s="8"/>
      <c r="N101" s="8"/>
      <c r="O101" s="8"/>
      <c r="P101" s="8"/>
      <c r="Q101" s="8"/>
      <c r="R101" s="8"/>
    </row>
    <row r="102" spans="3:18" x14ac:dyDescent="0.2">
      <c r="C102" s="8"/>
      <c r="D102" s="8"/>
      <c r="E102" s="8"/>
      <c r="F102" s="8"/>
      <c r="G102" s="8"/>
      <c r="H102" s="8"/>
      <c r="I102" s="8"/>
      <c r="J102" s="8"/>
      <c r="K102" s="8"/>
      <c r="L102" s="8"/>
      <c r="M102" s="8"/>
      <c r="N102" s="8"/>
      <c r="O102" s="8"/>
      <c r="P102" s="8"/>
      <c r="Q102" s="8"/>
      <c r="R102" s="8"/>
    </row>
    <row r="103" spans="3:18" x14ac:dyDescent="0.2">
      <c r="C103" s="8"/>
      <c r="D103" s="8"/>
      <c r="E103" s="8"/>
      <c r="F103" s="8"/>
      <c r="G103" s="8"/>
      <c r="H103" s="8"/>
      <c r="I103" s="8"/>
      <c r="J103" s="8"/>
      <c r="K103" s="8"/>
      <c r="L103" s="8"/>
      <c r="M103" s="8"/>
      <c r="N103" s="8"/>
      <c r="O103" s="8"/>
      <c r="P103" s="8"/>
      <c r="Q103" s="8"/>
      <c r="R103" s="8"/>
    </row>
    <row r="104" spans="3:18" x14ac:dyDescent="0.2">
      <c r="C104" s="8"/>
      <c r="D104" s="8"/>
      <c r="E104" s="8"/>
      <c r="F104" s="8"/>
      <c r="G104" s="8"/>
      <c r="H104" s="8"/>
      <c r="I104" s="8"/>
      <c r="J104" s="8"/>
      <c r="K104" s="8"/>
      <c r="L104" s="8"/>
      <c r="M104" s="8"/>
      <c r="N104" s="8"/>
      <c r="O104" s="8"/>
      <c r="P104" s="8"/>
      <c r="Q104" s="8"/>
      <c r="R104" s="8"/>
    </row>
    <row r="105" spans="3:18" x14ac:dyDescent="0.2">
      <c r="C105" s="8"/>
      <c r="D105" s="8"/>
      <c r="E105" s="8"/>
      <c r="F105" s="8"/>
      <c r="G105" s="8"/>
      <c r="H105" s="8"/>
      <c r="I105" s="8"/>
      <c r="J105" s="8"/>
      <c r="K105" s="8"/>
      <c r="L105" s="8"/>
      <c r="M105" s="8"/>
      <c r="N105" s="8"/>
      <c r="O105" s="8"/>
      <c r="P105" s="8"/>
      <c r="Q105" s="8"/>
      <c r="R105" s="8"/>
    </row>
    <row r="106" spans="3:18" x14ac:dyDescent="0.2">
      <c r="C106" s="8"/>
      <c r="D106" s="8"/>
      <c r="E106" s="8"/>
      <c r="F106" s="8"/>
      <c r="G106" s="8"/>
      <c r="H106" s="8"/>
      <c r="I106" s="8"/>
      <c r="J106" s="8"/>
      <c r="K106" s="8"/>
      <c r="L106" s="8"/>
      <c r="M106" s="8"/>
      <c r="N106" s="8"/>
      <c r="O106" s="8"/>
      <c r="P106" s="8"/>
      <c r="Q106" s="8"/>
      <c r="R106" s="8"/>
    </row>
    <row r="107" spans="3:18" x14ac:dyDescent="0.2">
      <c r="C107" s="8"/>
      <c r="D107" s="8"/>
      <c r="E107" s="8"/>
      <c r="F107" s="8"/>
      <c r="G107" s="8"/>
      <c r="H107" s="8"/>
      <c r="I107" s="8"/>
      <c r="J107" s="8"/>
      <c r="K107" s="8"/>
      <c r="L107" s="8"/>
      <c r="M107" s="8"/>
      <c r="N107" s="8"/>
      <c r="O107" s="8"/>
      <c r="P107" s="8"/>
      <c r="Q107" s="8"/>
      <c r="R107" s="8"/>
    </row>
    <row r="108" spans="3:18" x14ac:dyDescent="0.2">
      <c r="C108" s="8"/>
      <c r="D108" s="8"/>
      <c r="E108" s="8"/>
      <c r="F108" s="8"/>
      <c r="G108" s="8"/>
      <c r="H108" s="8"/>
      <c r="I108" s="8"/>
      <c r="J108" s="8"/>
      <c r="K108" s="8"/>
      <c r="L108" s="8"/>
      <c r="M108" s="8"/>
      <c r="N108" s="8"/>
      <c r="O108" s="8"/>
      <c r="P108" s="8"/>
      <c r="Q108" s="8"/>
      <c r="R108" s="8"/>
    </row>
    <row r="109" spans="3:18" x14ac:dyDescent="0.2">
      <c r="C109" s="8"/>
      <c r="D109" s="8"/>
      <c r="E109" s="8"/>
      <c r="F109" s="8"/>
      <c r="G109" s="8"/>
      <c r="H109" s="8"/>
      <c r="I109" s="8"/>
      <c r="J109" s="8"/>
      <c r="K109" s="8"/>
      <c r="L109" s="8"/>
      <c r="M109" s="8"/>
      <c r="N109" s="8"/>
      <c r="O109" s="8"/>
      <c r="P109" s="8"/>
      <c r="Q109" s="8"/>
      <c r="R109" s="8"/>
    </row>
    <row r="110" spans="3:18" x14ac:dyDescent="0.2">
      <c r="C110" s="8"/>
      <c r="D110" s="8"/>
      <c r="E110" s="8"/>
      <c r="F110" s="8"/>
      <c r="G110" s="8"/>
      <c r="H110" s="8"/>
      <c r="I110" s="8"/>
      <c r="J110" s="8"/>
      <c r="K110" s="8"/>
      <c r="L110" s="8"/>
      <c r="M110" s="8"/>
      <c r="N110" s="8"/>
      <c r="O110" s="8"/>
      <c r="P110" s="8"/>
      <c r="Q110" s="8"/>
      <c r="R110" s="8"/>
    </row>
    <row r="111" spans="3:18" x14ac:dyDescent="0.2">
      <c r="C111" s="8"/>
      <c r="D111" s="8"/>
      <c r="E111" s="8"/>
      <c r="F111" s="8"/>
      <c r="G111" s="8"/>
      <c r="H111" s="8"/>
      <c r="I111" s="8"/>
      <c r="J111" s="8"/>
      <c r="K111" s="8"/>
      <c r="L111" s="8"/>
      <c r="M111" s="8"/>
      <c r="N111" s="8"/>
      <c r="O111" s="8"/>
      <c r="P111" s="8"/>
      <c r="Q111" s="8"/>
      <c r="R111" s="8"/>
    </row>
    <row r="112" spans="3:18" x14ac:dyDescent="0.2">
      <c r="C112" s="8"/>
      <c r="D112" s="8"/>
      <c r="E112" s="8"/>
      <c r="F112" s="8"/>
      <c r="G112" s="8"/>
      <c r="H112" s="8"/>
      <c r="I112" s="8"/>
      <c r="J112" s="8"/>
      <c r="K112" s="8"/>
      <c r="L112" s="8"/>
      <c r="M112" s="8"/>
      <c r="N112" s="8"/>
      <c r="O112" s="8"/>
      <c r="P112" s="8"/>
      <c r="Q112" s="8"/>
      <c r="R112" s="8"/>
    </row>
    <row r="113" spans="3:18" x14ac:dyDescent="0.2">
      <c r="C113" s="8"/>
      <c r="D113" s="8"/>
      <c r="E113" s="8"/>
      <c r="F113" s="8"/>
      <c r="G113" s="8"/>
      <c r="H113" s="8"/>
      <c r="I113" s="8"/>
      <c r="J113" s="8"/>
      <c r="K113" s="8"/>
      <c r="L113" s="8"/>
      <c r="M113" s="8"/>
      <c r="N113" s="8"/>
      <c r="O113" s="8"/>
      <c r="P113" s="8"/>
      <c r="Q113" s="8"/>
      <c r="R113" s="8"/>
    </row>
    <row r="114" spans="3:18" x14ac:dyDescent="0.2">
      <c r="C114" s="8"/>
      <c r="D114" s="8"/>
      <c r="E114" s="8"/>
      <c r="F114" s="8"/>
      <c r="G114" s="8"/>
      <c r="H114" s="8"/>
      <c r="I114" s="8"/>
      <c r="J114" s="8"/>
      <c r="K114" s="8"/>
      <c r="L114" s="8"/>
      <c r="M114" s="8"/>
      <c r="N114" s="8"/>
      <c r="O114" s="8"/>
      <c r="P114" s="8"/>
      <c r="Q114" s="8"/>
      <c r="R114" s="8"/>
    </row>
    <row r="115" spans="3:18" x14ac:dyDescent="0.2">
      <c r="C115" s="8"/>
      <c r="D115" s="8"/>
      <c r="E115" s="8"/>
      <c r="F115" s="8"/>
      <c r="G115" s="8"/>
      <c r="H115" s="8"/>
      <c r="I115" s="8"/>
      <c r="J115" s="8"/>
      <c r="K115" s="8"/>
      <c r="L115" s="8"/>
      <c r="M115" s="8"/>
      <c r="N115" s="8"/>
      <c r="O115" s="8"/>
      <c r="P115" s="8"/>
      <c r="Q115" s="8"/>
      <c r="R115" s="8"/>
    </row>
    <row r="116" spans="3:18" x14ac:dyDescent="0.2">
      <c r="C116" s="8"/>
      <c r="D116" s="8"/>
      <c r="E116" s="8"/>
      <c r="F116" s="8"/>
      <c r="G116" s="8"/>
      <c r="H116" s="8"/>
      <c r="I116" s="8"/>
      <c r="J116" s="8"/>
      <c r="K116" s="8"/>
      <c r="L116" s="8"/>
      <c r="M116" s="8"/>
      <c r="N116" s="8"/>
      <c r="O116" s="8"/>
      <c r="P116" s="8"/>
      <c r="Q116" s="8"/>
      <c r="R116" s="8"/>
    </row>
    <row r="117" spans="3:18" x14ac:dyDescent="0.2">
      <c r="C117" s="8"/>
      <c r="D117" s="8"/>
      <c r="E117" s="8"/>
      <c r="F117" s="8"/>
      <c r="G117" s="8"/>
      <c r="H117" s="8"/>
      <c r="I117" s="8"/>
      <c r="J117" s="8"/>
      <c r="K117" s="8"/>
      <c r="L117" s="8"/>
      <c r="M117" s="8"/>
      <c r="N117" s="8"/>
      <c r="O117" s="8"/>
      <c r="P117" s="8"/>
      <c r="Q117" s="8"/>
      <c r="R117" s="8"/>
    </row>
    <row r="118" spans="3:18" x14ac:dyDescent="0.2">
      <c r="C118" s="8"/>
      <c r="D118" s="8"/>
      <c r="E118" s="8"/>
      <c r="F118" s="8"/>
      <c r="G118" s="8"/>
      <c r="H118" s="8"/>
      <c r="I118" s="8"/>
      <c r="J118" s="8"/>
      <c r="K118" s="8"/>
      <c r="L118" s="8"/>
      <c r="M118" s="8"/>
      <c r="N118" s="8"/>
      <c r="O118" s="8"/>
      <c r="P118" s="8"/>
      <c r="Q118" s="8"/>
      <c r="R118" s="8"/>
    </row>
    <row r="119" spans="3:18" x14ac:dyDescent="0.2">
      <c r="C119" s="8"/>
      <c r="D119" s="8"/>
      <c r="E119" s="8"/>
      <c r="F119" s="8"/>
      <c r="G119" s="8"/>
      <c r="H119" s="8"/>
      <c r="I119" s="8"/>
      <c r="J119" s="8"/>
      <c r="K119" s="8"/>
      <c r="L119" s="8"/>
      <c r="M119" s="8"/>
      <c r="N119" s="8"/>
      <c r="O119" s="8"/>
      <c r="P119" s="8"/>
      <c r="Q119" s="8"/>
      <c r="R119" s="8"/>
    </row>
    <row r="120" spans="3:18" x14ac:dyDescent="0.2">
      <c r="C120" s="8"/>
      <c r="D120" s="8"/>
      <c r="E120" s="8"/>
      <c r="F120" s="8"/>
      <c r="G120" s="8"/>
      <c r="H120" s="8"/>
      <c r="I120" s="8"/>
      <c r="J120" s="8"/>
      <c r="K120" s="8"/>
      <c r="L120" s="8"/>
      <c r="M120" s="8"/>
      <c r="N120" s="8"/>
      <c r="O120" s="8"/>
      <c r="P120" s="8"/>
      <c r="Q120" s="8"/>
      <c r="R120" s="8"/>
    </row>
    <row r="121" spans="3:18" x14ac:dyDescent="0.2">
      <c r="C121" s="8"/>
      <c r="D121" s="8"/>
      <c r="E121" s="8"/>
      <c r="F121" s="8"/>
      <c r="G121" s="8"/>
      <c r="H121" s="8"/>
      <c r="I121" s="8"/>
      <c r="J121" s="8"/>
      <c r="K121" s="8"/>
      <c r="L121" s="8"/>
      <c r="M121" s="8"/>
      <c r="N121" s="8"/>
      <c r="O121" s="8"/>
      <c r="P121" s="8"/>
      <c r="Q121" s="8"/>
      <c r="R121" s="8"/>
    </row>
    <row r="122" spans="3:18" x14ac:dyDescent="0.2">
      <c r="C122" s="8"/>
      <c r="D122" s="8"/>
      <c r="E122" s="8"/>
      <c r="F122" s="8"/>
      <c r="G122" s="8"/>
      <c r="H122" s="8"/>
      <c r="I122" s="8"/>
      <c r="J122" s="8"/>
      <c r="K122" s="8"/>
      <c r="L122" s="8"/>
      <c r="M122" s="8"/>
      <c r="N122" s="8"/>
      <c r="O122" s="8"/>
      <c r="P122" s="8"/>
      <c r="Q122" s="8"/>
      <c r="R122" s="8"/>
    </row>
    <row r="123" spans="3:18" x14ac:dyDescent="0.2">
      <c r="C123" s="8"/>
      <c r="D123" s="8"/>
      <c r="E123" s="8"/>
      <c r="F123" s="8"/>
      <c r="G123" s="8"/>
      <c r="H123" s="8"/>
      <c r="I123" s="8"/>
      <c r="J123" s="8"/>
      <c r="K123" s="8"/>
      <c r="L123" s="8"/>
      <c r="M123" s="8"/>
      <c r="N123" s="8"/>
      <c r="O123" s="8"/>
      <c r="P123" s="8"/>
      <c r="Q123" s="8"/>
      <c r="R123" s="8"/>
    </row>
    <row r="124" spans="3:18" x14ac:dyDescent="0.2">
      <c r="C124" s="8"/>
      <c r="D124" s="8"/>
      <c r="E124" s="8"/>
      <c r="F124" s="8"/>
      <c r="G124" s="8"/>
      <c r="H124" s="8"/>
      <c r="I124" s="8"/>
      <c r="J124" s="8"/>
      <c r="K124" s="8"/>
      <c r="L124" s="8"/>
      <c r="M124" s="8"/>
      <c r="N124" s="8"/>
      <c r="O124" s="8"/>
      <c r="P124" s="8"/>
      <c r="Q124" s="8"/>
      <c r="R124" s="8"/>
    </row>
    <row r="125" spans="3:18" x14ac:dyDescent="0.2">
      <c r="C125" s="8"/>
      <c r="D125" s="8"/>
      <c r="E125" s="8"/>
      <c r="F125" s="8"/>
      <c r="G125" s="8"/>
      <c r="H125" s="8"/>
      <c r="I125" s="8"/>
      <c r="J125" s="8"/>
      <c r="K125" s="8"/>
      <c r="L125" s="8"/>
      <c r="M125" s="8"/>
      <c r="N125" s="8"/>
      <c r="O125" s="8"/>
      <c r="P125" s="8"/>
      <c r="Q125" s="8"/>
      <c r="R125" s="8"/>
    </row>
    <row r="126" spans="3:18" x14ac:dyDescent="0.2">
      <c r="C126" s="8"/>
      <c r="D126" s="8"/>
      <c r="E126" s="8"/>
      <c r="F126" s="8"/>
      <c r="G126" s="8"/>
      <c r="H126" s="8"/>
      <c r="I126" s="8"/>
      <c r="J126" s="8"/>
      <c r="K126" s="8"/>
      <c r="L126" s="8"/>
      <c r="M126" s="8"/>
      <c r="N126" s="8"/>
      <c r="O126" s="8"/>
      <c r="P126" s="8"/>
      <c r="Q126" s="8"/>
      <c r="R126" s="8"/>
    </row>
    <row r="127" spans="3:18" x14ac:dyDescent="0.2">
      <c r="C127" s="8"/>
      <c r="D127" s="8"/>
      <c r="E127" s="8"/>
      <c r="F127" s="8"/>
      <c r="G127" s="8"/>
      <c r="H127" s="8"/>
      <c r="I127" s="8"/>
      <c r="J127" s="8"/>
      <c r="K127" s="8"/>
      <c r="L127" s="8"/>
      <c r="M127" s="8"/>
      <c r="N127" s="8"/>
      <c r="O127" s="8"/>
      <c r="P127" s="8"/>
      <c r="Q127" s="8"/>
      <c r="R127" s="8"/>
    </row>
    <row r="128" spans="3:18" x14ac:dyDescent="0.2">
      <c r="C128" s="8"/>
      <c r="D128" s="8"/>
      <c r="E128" s="8"/>
      <c r="F128" s="8"/>
      <c r="G128" s="8"/>
      <c r="H128" s="8"/>
      <c r="I128" s="8"/>
      <c r="J128" s="8"/>
      <c r="K128" s="8"/>
      <c r="L128" s="8"/>
      <c r="M128" s="8"/>
      <c r="N128" s="8"/>
      <c r="O128" s="8"/>
      <c r="P128" s="8"/>
      <c r="Q128" s="8"/>
      <c r="R128" s="8"/>
    </row>
    <row r="129" spans="3:18" x14ac:dyDescent="0.2">
      <c r="C129" s="8"/>
      <c r="D129" s="8"/>
      <c r="E129" s="8"/>
      <c r="F129" s="8"/>
      <c r="G129" s="8"/>
      <c r="H129" s="8"/>
      <c r="I129" s="8"/>
      <c r="J129" s="8"/>
      <c r="K129" s="8"/>
      <c r="L129" s="8"/>
      <c r="M129" s="8"/>
      <c r="N129" s="8"/>
      <c r="O129" s="8"/>
      <c r="P129" s="8"/>
      <c r="Q129" s="8"/>
      <c r="R129" s="8"/>
    </row>
    <row r="130" spans="3:18" x14ac:dyDescent="0.2">
      <c r="C130" s="8"/>
      <c r="D130" s="8"/>
      <c r="E130" s="8"/>
      <c r="F130" s="8"/>
      <c r="G130" s="8"/>
      <c r="H130" s="8"/>
      <c r="I130" s="8"/>
      <c r="J130" s="8"/>
      <c r="K130" s="8"/>
      <c r="L130" s="8"/>
      <c r="M130" s="8"/>
      <c r="N130" s="8"/>
      <c r="O130" s="8"/>
      <c r="P130" s="8"/>
      <c r="Q130" s="8"/>
      <c r="R130" s="8"/>
    </row>
    <row r="131" spans="3:18" x14ac:dyDescent="0.2">
      <c r="C131" s="8"/>
      <c r="D131" s="8"/>
      <c r="E131" s="8"/>
      <c r="F131" s="8"/>
      <c r="G131" s="8"/>
      <c r="H131" s="8"/>
      <c r="I131" s="8"/>
      <c r="J131" s="8"/>
      <c r="K131" s="8"/>
      <c r="L131" s="8"/>
      <c r="M131" s="8"/>
      <c r="N131" s="8"/>
      <c r="O131" s="8"/>
      <c r="P131" s="8"/>
      <c r="Q131" s="8"/>
      <c r="R131" s="8"/>
    </row>
    <row r="132" spans="3:18" x14ac:dyDescent="0.2">
      <c r="C132" s="8"/>
      <c r="D132" s="8"/>
      <c r="E132" s="8"/>
      <c r="F132" s="8"/>
      <c r="G132" s="8"/>
      <c r="H132" s="8"/>
      <c r="I132" s="8"/>
      <c r="J132" s="8"/>
      <c r="K132" s="8"/>
      <c r="L132" s="8"/>
      <c r="M132" s="8"/>
      <c r="N132" s="8"/>
      <c r="O132" s="8"/>
      <c r="P132" s="8"/>
      <c r="Q132" s="8"/>
      <c r="R132" s="8"/>
    </row>
    <row r="133" spans="3:18" x14ac:dyDescent="0.2">
      <c r="C133" s="8"/>
      <c r="D133" s="8"/>
      <c r="E133" s="8"/>
      <c r="F133" s="8"/>
      <c r="G133" s="8"/>
      <c r="H133" s="8"/>
      <c r="I133" s="8"/>
      <c r="J133" s="8"/>
      <c r="K133" s="8"/>
      <c r="L133" s="8"/>
      <c r="M133" s="8"/>
      <c r="N133" s="8"/>
      <c r="O133" s="8"/>
      <c r="P133" s="8"/>
      <c r="Q133" s="8"/>
      <c r="R133" s="8"/>
    </row>
    <row r="134" spans="3:18" x14ac:dyDescent="0.2">
      <c r="C134" s="8"/>
      <c r="D134" s="8"/>
      <c r="E134" s="8"/>
      <c r="F134" s="8"/>
      <c r="G134" s="8"/>
      <c r="H134" s="8"/>
      <c r="I134" s="8"/>
      <c r="J134" s="8"/>
      <c r="K134" s="8"/>
      <c r="L134" s="8"/>
      <c r="M134" s="8"/>
      <c r="N134" s="8"/>
      <c r="O134" s="8"/>
      <c r="P134" s="8"/>
      <c r="Q134" s="8"/>
      <c r="R134" s="8"/>
    </row>
    <row r="135" spans="3:18" x14ac:dyDescent="0.2">
      <c r="C135" s="8"/>
      <c r="D135" s="8"/>
      <c r="E135" s="8"/>
      <c r="F135" s="8"/>
      <c r="G135" s="8"/>
      <c r="H135" s="8"/>
      <c r="I135" s="8"/>
      <c r="J135" s="8"/>
      <c r="K135" s="8"/>
      <c r="L135" s="8"/>
      <c r="M135" s="8"/>
      <c r="N135" s="8"/>
      <c r="O135" s="8"/>
      <c r="P135" s="8"/>
      <c r="Q135" s="8"/>
      <c r="R135" s="8"/>
    </row>
    <row r="136" spans="3:18" x14ac:dyDescent="0.2">
      <c r="C136" s="8"/>
      <c r="D136" s="8"/>
      <c r="E136" s="8"/>
      <c r="F136" s="8"/>
      <c r="G136" s="8"/>
      <c r="H136" s="8"/>
      <c r="I136" s="8"/>
      <c r="J136" s="8"/>
      <c r="K136" s="8"/>
      <c r="L136" s="8"/>
      <c r="M136" s="8"/>
      <c r="N136" s="8"/>
      <c r="O136" s="8"/>
      <c r="P136" s="8"/>
      <c r="Q136" s="8"/>
      <c r="R136" s="8"/>
    </row>
    <row r="137" spans="3:18" x14ac:dyDescent="0.2">
      <c r="C137" s="8"/>
      <c r="D137" s="8"/>
      <c r="E137" s="8"/>
      <c r="F137" s="8"/>
      <c r="G137" s="8"/>
      <c r="H137" s="8"/>
      <c r="I137" s="8"/>
      <c r="J137" s="8"/>
      <c r="K137" s="8"/>
      <c r="L137" s="8"/>
      <c r="M137" s="8"/>
      <c r="N137" s="8"/>
      <c r="O137" s="8"/>
      <c r="P137" s="8"/>
      <c r="Q137" s="8"/>
      <c r="R137" s="8"/>
    </row>
    <row r="138" spans="3:18" x14ac:dyDescent="0.2">
      <c r="C138" s="8"/>
      <c r="D138" s="8"/>
      <c r="E138" s="8"/>
      <c r="F138" s="8"/>
      <c r="G138" s="8"/>
      <c r="H138" s="8"/>
      <c r="I138" s="8"/>
      <c r="J138" s="8"/>
      <c r="K138" s="8"/>
      <c r="L138" s="8"/>
      <c r="M138" s="8"/>
      <c r="N138" s="8"/>
      <c r="O138" s="8"/>
      <c r="P138" s="8"/>
      <c r="Q138" s="8"/>
      <c r="R138" s="8"/>
    </row>
    <row r="139" spans="3:18" x14ac:dyDescent="0.2">
      <c r="C139" s="8"/>
      <c r="D139" s="8"/>
      <c r="E139" s="8"/>
      <c r="F139" s="8"/>
      <c r="G139" s="8"/>
      <c r="H139" s="8"/>
      <c r="I139" s="8"/>
      <c r="J139" s="8"/>
      <c r="K139" s="8"/>
      <c r="L139" s="8"/>
      <c r="M139" s="8"/>
      <c r="N139" s="8"/>
      <c r="O139" s="8"/>
      <c r="P139" s="8"/>
      <c r="Q139" s="8"/>
      <c r="R139" s="8"/>
    </row>
    <row r="140" spans="3:18" x14ac:dyDescent="0.2">
      <c r="C140" s="8"/>
      <c r="D140" s="8"/>
      <c r="E140" s="8"/>
      <c r="F140" s="8"/>
      <c r="G140" s="8"/>
      <c r="H140" s="8"/>
      <c r="I140" s="8"/>
      <c r="J140" s="8"/>
      <c r="K140" s="8"/>
      <c r="L140" s="8"/>
      <c r="M140" s="8"/>
      <c r="N140" s="8"/>
      <c r="O140" s="8"/>
      <c r="P140" s="8"/>
      <c r="Q140" s="8"/>
      <c r="R140" s="8"/>
    </row>
    <row r="141" spans="3:18" x14ac:dyDescent="0.2">
      <c r="C141" s="8"/>
      <c r="D141" s="8"/>
      <c r="E141" s="8"/>
      <c r="F141" s="8"/>
      <c r="G141" s="8"/>
      <c r="H141" s="8"/>
      <c r="I141" s="8"/>
      <c r="J141" s="8"/>
      <c r="K141" s="8"/>
      <c r="L141" s="8"/>
      <c r="M141" s="8"/>
      <c r="N141" s="8"/>
      <c r="O141" s="8"/>
      <c r="P141" s="8"/>
      <c r="Q141" s="8"/>
      <c r="R141" s="8"/>
    </row>
    <row r="142" spans="3:18" x14ac:dyDescent="0.2">
      <c r="C142" s="8"/>
      <c r="D142" s="8"/>
      <c r="E142" s="8"/>
      <c r="F142" s="8"/>
      <c r="G142" s="8"/>
      <c r="H142" s="8"/>
      <c r="I142" s="8"/>
      <c r="J142" s="8"/>
      <c r="K142" s="8"/>
      <c r="L142" s="8"/>
      <c r="M142" s="8"/>
      <c r="N142" s="8"/>
      <c r="O142" s="8"/>
      <c r="P142" s="8"/>
      <c r="Q142" s="8"/>
      <c r="R142" s="8"/>
    </row>
    <row r="143" spans="3:18" x14ac:dyDescent="0.2">
      <c r="C143" s="8"/>
      <c r="D143" s="8"/>
      <c r="E143" s="8"/>
      <c r="F143" s="8"/>
      <c r="G143" s="8"/>
      <c r="H143" s="8"/>
      <c r="I143" s="8"/>
      <c r="J143" s="8"/>
      <c r="K143" s="8"/>
      <c r="L143" s="8"/>
      <c r="M143" s="8"/>
      <c r="N143" s="8"/>
      <c r="O143" s="8"/>
      <c r="P143" s="8"/>
      <c r="Q143" s="8"/>
      <c r="R143" s="8"/>
    </row>
    <row r="144" spans="3:18" x14ac:dyDescent="0.2">
      <c r="C144" s="8"/>
      <c r="D144" s="8"/>
      <c r="E144" s="8"/>
      <c r="F144" s="8"/>
      <c r="G144" s="8"/>
      <c r="H144" s="8"/>
      <c r="I144" s="8"/>
      <c r="J144" s="8"/>
      <c r="K144" s="8"/>
      <c r="L144" s="8"/>
      <c r="M144" s="8"/>
      <c r="N144" s="8"/>
      <c r="O144" s="8"/>
      <c r="P144" s="8"/>
      <c r="Q144" s="8"/>
      <c r="R144" s="8"/>
    </row>
    <row r="145" spans="3:18" x14ac:dyDescent="0.2">
      <c r="C145" s="8"/>
      <c r="D145" s="8"/>
      <c r="E145" s="8"/>
      <c r="F145" s="8"/>
      <c r="G145" s="8"/>
      <c r="H145" s="8"/>
      <c r="I145" s="8"/>
      <c r="J145" s="8"/>
      <c r="K145" s="8"/>
      <c r="L145" s="8"/>
      <c r="M145" s="8"/>
      <c r="N145" s="8"/>
      <c r="O145" s="8"/>
      <c r="P145" s="8"/>
      <c r="Q145" s="8"/>
      <c r="R145" s="8"/>
    </row>
    <row r="146" spans="3:18" x14ac:dyDescent="0.2">
      <c r="C146" s="8"/>
      <c r="D146" s="8"/>
      <c r="E146" s="8"/>
      <c r="F146" s="8"/>
      <c r="G146" s="8"/>
      <c r="H146" s="8"/>
      <c r="I146" s="8"/>
      <c r="J146" s="8"/>
      <c r="K146" s="8"/>
      <c r="L146" s="8"/>
      <c r="M146" s="8"/>
      <c r="N146" s="8"/>
      <c r="O146" s="8"/>
      <c r="P146" s="8"/>
      <c r="Q146" s="8"/>
      <c r="R146" s="8"/>
    </row>
    <row r="147" spans="3:18" x14ac:dyDescent="0.2">
      <c r="C147" s="8"/>
      <c r="D147" s="8"/>
      <c r="E147" s="8"/>
      <c r="F147" s="8"/>
      <c r="G147" s="8"/>
      <c r="H147" s="8"/>
      <c r="I147" s="8"/>
      <c r="J147" s="8"/>
      <c r="K147" s="8"/>
      <c r="L147" s="8"/>
      <c r="M147" s="8"/>
      <c r="N147" s="8"/>
      <c r="O147" s="8"/>
      <c r="P147" s="8"/>
      <c r="Q147" s="8"/>
      <c r="R147" s="8"/>
    </row>
    <row r="148" spans="3:18" x14ac:dyDescent="0.2">
      <c r="C148" s="8"/>
      <c r="D148" s="8"/>
      <c r="E148" s="8"/>
      <c r="F148" s="8"/>
      <c r="G148" s="8"/>
      <c r="H148" s="8"/>
      <c r="I148" s="8"/>
      <c r="J148" s="8"/>
      <c r="K148" s="8"/>
      <c r="L148" s="8"/>
      <c r="M148" s="8"/>
      <c r="N148" s="8"/>
      <c r="O148" s="8"/>
      <c r="P148" s="8"/>
      <c r="Q148" s="8"/>
      <c r="R148" s="8"/>
    </row>
    <row r="149" spans="3:18" x14ac:dyDescent="0.2">
      <c r="C149" s="8"/>
      <c r="D149" s="8"/>
      <c r="E149" s="8"/>
      <c r="F149" s="8"/>
      <c r="G149" s="8"/>
      <c r="H149" s="8"/>
      <c r="I149" s="8"/>
      <c r="J149" s="8"/>
      <c r="K149" s="8"/>
      <c r="L149" s="8"/>
      <c r="M149" s="8"/>
      <c r="N149" s="8"/>
      <c r="O149" s="8"/>
      <c r="P149" s="8"/>
      <c r="Q149" s="8"/>
      <c r="R149" s="8"/>
    </row>
    <row r="150" spans="3:18" x14ac:dyDescent="0.2">
      <c r="C150" s="8"/>
      <c r="D150" s="8"/>
      <c r="E150" s="8"/>
      <c r="F150" s="8"/>
      <c r="G150" s="8"/>
      <c r="H150" s="8"/>
      <c r="I150" s="8"/>
      <c r="J150" s="8"/>
      <c r="K150" s="8"/>
      <c r="L150" s="8"/>
      <c r="M150" s="8"/>
      <c r="N150" s="8"/>
      <c r="O150" s="8"/>
      <c r="P150" s="8"/>
      <c r="Q150" s="8"/>
      <c r="R150" s="8"/>
    </row>
    <row r="151" spans="3:18" x14ac:dyDescent="0.2">
      <c r="C151" s="8"/>
      <c r="D151" s="8"/>
      <c r="E151" s="8"/>
      <c r="F151" s="8"/>
      <c r="G151" s="8"/>
      <c r="H151" s="8"/>
      <c r="I151" s="8"/>
      <c r="J151" s="8"/>
      <c r="K151" s="8"/>
      <c r="L151" s="8"/>
      <c r="M151" s="8"/>
      <c r="N151" s="8"/>
      <c r="O151" s="8"/>
      <c r="P151" s="8"/>
      <c r="Q151" s="8"/>
      <c r="R151" s="8"/>
    </row>
    <row r="152" spans="3:18" x14ac:dyDescent="0.2">
      <c r="C152" s="8"/>
      <c r="D152" s="8"/>
      <c r="E152" s="8"/>
      <c r="F152" s="8"/>
      <c r="G152" s="8"/>
      <c r="H152" s="8"/>
      <c r="I152" s="8"/>
      <c r="J152" s="8"/>
      <c r="K152" s="8"/>
      <c r="L152" s="8"/>
      <c r="M152" s="8"/>
      <c r="N152" s="8"/>
      <c r="O152" s="8"/>
      <c r="P152" s="8"/>
      <c r="Q152" s="8"/>
      <c r="R152" s="8"/>
    </row>
    <row r="153" spans="3:18" x14ac:dyDescent="0.2">
      <c r="C153" s="8"/>
      <c r="D153" s="8"/>
      <c r="E153" s="8"/>
      <c r="F153" s="8"/>
      <c r="G153" s="8"/>
      <c r="H153" s="8"/>
      <c r="I153" s="8"/>
      <c r="J153" s="8"/>
      <c r="K153" s="8"/>
      <c r="L153" s="8"/>
      <c r="M153" s="8"/>
      <c r="N153" s="8"/>
      <c r="O153" s="8"/>
      <c r="P153" s="8"/>
      <c r="Q153" s="8"/>
      <c r="R153" s="8"/>
    </row>
    <row r="154" spans="3:18" x14ac:dyDescent="0.2">
      <c r="C154" s="8"/>
      <c r="D154" s="8"/>
      <c r="E154" s="8"/>
      <c r="F154" s="8"/>
      <c r="G154" s="8"/>
      <c r="H154" s="8"/>
      <c r="I154" s="8"/>
      <c r="J154" s="8"/>
      <c r="K154" s="8"/>
      <c r="L154" s="8"/>
      <c r="M154" s="8"/>
      <c r="N154" s="8"/>
      <c r="O154" s="8"/>
      <c r="P154" s="8"/>
      <c r="Q154" s="8"/>
      <c r="R154" s="8"/>
    </row>
    <row r="155" spans="3:18" x14ac:dyDescent="0.2">
      <c r="C155" s="8"/>
      <c r="D155" s="8"/>
      <c r="E155" s="8"/>
      <c r="F155" s="8"/>
      <c r="G155" s="8"/>
      <c r="H155" s="8"/>
      <c r="I155" s="8"/>
      <c r="J155" s="8"/>
      <c r="K155" s="8"/>
      <c r="L155" s="8"/>
      <c r="M155" s="8"/>
      <c r="N155" s="8"/>
      <c r="O155" s="8"/>
      <c r="P155" s="8"/>
      <c r="Q155" s="8"/>
      <c r="R155" s="8"/>
    </row>
    <row r="156" spans="3:18" x14ac:dyDescent="0.2">
      <c r="C156" s="8"/>
      <c r="D156" s="8"/>
      <c r="E156" s="8"/>
      <c r="F156" s="8"/>
      <c r="G156" s="8"/>
      <c r="H156" s="8"/>
      <c r="I156" s="8"/>
      <c r="J156" s="8"/>
      <c r="K156" s="8"/>
      <c r="L156" s="8"/>
      <c r="M156" s="8"/>
      <c r="N156" s="8"/>
      <c r="O156" s="8"/>
      <c r="P156" s="8"/>
      <c r="Q156" s="8"/>
      <c r="R156" s="8"/>
    </row>
    <row r="157" spans="3:18" x14ac:dyDescent="0.2">
      <c r="C157" s="8"/>
      <c r="D157" s="8"/>
      <c r="E157" s="8"/>
      <c r="F157" s="8"/>
      <c r="G157" s="8"/>
      <c r="H157" s="8"/>
      <c r="I157" s="8"/>
      <c r="J157" s="8"/>
      <c r="K157" s="8"/>
      <c r="L157" s="8"/>
      <c r="M157" s="8"/>
      <c r="N157" s="8"/>
      <c r="O157" s="8"/>
      <c r="P157" s="8"/>
      <c r="Q157" s="8"/>
      <c r="R157" s="8"/>
    </row>
    <row r="158" spans="3:18" x14ac:dyDescent="0.2">
      <c r="C158" s="8"/>
      <c r="D158" s="8"/>
      <c r="E158" s="8"/>
      <c r="F158" s="8"/>
      <c r="G158" s="8"/>
      <c r="H158" s="8"/>
      <c r="I158" s="8"/>
      <c r="J158" s="8"/>
      <c r="K158" s="8"/>
      <c r="L158" s="8"/>
      <c r="M158" s="8"/>
      <c r="N158" s="8"/>
      <c r="O158" s="8"/>
      <c r="P158" s="8"/>
      <c r="Q158" s="8"/>
      <c r="R158" s="8"/>
    </row>
    <row r="159" spans="3:18" x14ac:dyDescent="0.2">
      <c r="C159" s="8"/>
      <c r="D159" s="8"/>
      <c r="E159" s="8"/>
      <c r="F159" s="8"/>
      <c r="G159" s="8"/>
      <c r="H159" s="8"/>
      <c r="I159" s="8"/>
      <c r="J159" s="8"/>
      <c r="K159" s="8"/>
      <c r="L159" s="8"/>
      <c r="M159" s="8"/>
      <c r="N159" s="8"/>
      <c r="O159" s="8"/>
      <c r="P159" s="8"/>
      <c r="Q159" s="8"/>
      <c r="R159" s="8"/>
    </row>
    <row r="160" spans="3:18" x14ac:dyDescent="0.2">
      <c r="C160" s="8"/>
      <c r="D160" s="8"/>
      <c r="E160" s="8"/>
      <c r="F160" s="8"/>
      <c r="G160" s="8"/>
      <c r="H160" s="8"/>
      <c r="I160" s="8"/>
      <c r="J160" s="8"/>
      <c r="K160" s="8"/>
      <c r="L160" s="8"/>
      <c r="M160" s="8"/>
      <c r="N160" s="8"/>
      <c r="O160" s="8"/>
      <c r="P160" s="8"/>
      <c r="Q160" s="8"/>
      <c r="R160" s="8"/>
    </row>
    <row r="161" spans="3:18" x14ac:dyDescent="0.2">
      <c r="C161" s="8"/>
      <c r="D161" s="8"/>
      <c r="E161" s="8"/>
      <c r="F161" s="8"/>
      <c r="G161" s="8"/>
      <c r="H161" s="8"/>
      <c r="I161" s="8"/>
      <c r="J161" s="8"/>
      <c r="K161" s="8"/>
      <c r="L161" s="8"/>
      <c r="M161" s="8"/>
      <c r="N161" s="8"/>
      <c r="O161" s="8"/>
      <c r="P161" s="8"/>
      <c r="Q161" s="8"/>
      <c r="R161" s="8"/>
    </row>
    <row r="162" spans="3:18" x14ac:dyDescent="0.2">
      <c r="C162" s="8"/>
      <c r="D162" s="8"/>
      <c r="E162" s="8"/>
      <c r="F162" s="8"/>
      <c r="G162" s="8"/>
      <c r="H162" s="8"/>
      <c r="I162" s="8"/>
      <c r="J162" s="8"/>
      <c r="K162" s="8"/>
      <c r="L162" s="8"/>
      <c r="M162" s="8"/>
      <c r="N162" s="8"/>
      <c r="O162" s="8"/>
      <c r="P162" s="8"/>
      <c r="Q162" s="8"/>
      <c r="R162" s="8"/>
    </row>
    <row r="163" spans="3:18" x14ac:dyDescent="0.2">
      <c r="C163" s="8"/>
      <c r="D163" s="8"/>
      <c r="E163" s="8"/>
      <c r="F163" s="8"/>
      <c r="G163" s="8"/>
      <c r="H163" s="8"/>
      <c r="I163" s="8"/>
      <c r="J163" s="8"/>
      <c r="K163" s="8"/>
      <c r="L163" s="8"/>
      <c r="M163" s="8"/>
      <c r="N163" s="8"/>
      <c r="O163" s="8"/>
      <c r="P163" s="8"/>
      <c r="Q163" s="8"/>
      <c r="R163" s="8"/>
    </row>
    <row r="164" spans="3:18" x14ac:dyDescent="0.2">
      <c r="C164" s="8"/>
      <c r="D164" s="8"/>
      <c r="E164" s="8"/>
      <c r="F164" s="8"/>
      <c r="G164" s="8"/>
      <c r="H164" s="8"/>
      <c r="I164" s="8"/>
      <c r="J164" s="8"/>
      <c r="K164" s="8"/>
      <c r="L164" s="8"/>
      <c r="M164" s="8"/>
      <c r="N164" s="8"/>
      <c r="O164" s="8"/>
      <c r="P164" s="8"/>
      <c r="Q164" s="8"/>
      <c r="R164" s="8"/>
    </row>
    <row r="165" spans="3:18" x14ac:dyDescent="0.2">
      <c r="C165" s="8"/>
      <c r="D165" s="8"/>
      <c r="E165" s="8"/>
      <c r="F165" s="8"/>
      <c r="G165" s="8"/>
      <c r="H165" s="8"/>
      <c r="I165" s="8"/>
      <c r="J165" s="8"/>
      <c r="K165" s="8"/>
      <c r="L165" s="8"/>
      <c r="M165" s="8"/>
      <c r="N165" s="8"/>
      <c r="O165" s="8"/>
      <c r="P165" s="8"/>
      <c r="Q165" s="8"/>
      <c r="R165" s="8"/>
    </row>
    <row r="166" spans="3:18" x14ac:dyDescent="0.2">
      <c r="C166" s="8"/>
      <c r="D166" s="8"/>
      <c r="E166" s="8"/>
      <c r="F166" s="8"/>
      <c r="G166" s="8"/>
      <c r="H166" s="8"/>
      <c r="I166" s="8"/>
      <c r="J166" s="8"/>
      <c r="K166" s="8"/>
      <c r="L166" s="8"/>
      <c r="M166" s="8"/>
      <c r="N166" s="8"/>
      <c r="O166" s="8"/>
      <c r="P166" s="8"/>
      <c r="Q166" s="8"/>
      <c r="R166" s="8"/>
    </row>
    <row r="167" spans="3:18" x14ac:dyDescent="0.2">
      <c r="C167" s="8"/>
      <c r="D167" s="8"/>
      <c r="E167" s="8"/>
      <c r="F167" s="8"/>
      <c r="G167" s="8"/>
      <c r="H167" s="8"/>
      <c r="I167" s="8"/>
      <c r="J167" s="8"/>
      <c r="K167" s="8"/>
      <c r="L167" s="8"/>
      <c r="M167" s="8"/>
      <c r="N167" s="8"/>
      <c r="O167" s="8"/>
      <c r="P167" s="8"/>
      <c r="Q167" s="8"/>
      <c r="R167" s="8"/>
    </row>
    <row r="168" spans="3:18" x14ac:dyDescent="0.2">
      <c r="C168" s="8"/>
      <c r="D168" s="8"/>
      <c r="E168" s="8"/>
      <c r="F168" s="8"/>
      <c r="G168" s="8"/>
      <c r="H168" s="8"/>
      <c r="I168" s="8"/>
      <c r="J168" s="8"/>
      <c r="K168" s="8"/>
      <c r="L168" s="8"/>
      <c r="M168" s="8"/>
      <c r="N168" s="8"/>
      <c r="O168" s="8"/>
      <c r="P168" s="8"/>
      <c r="Q168" s="8"/>
      <c r="R168" s="8"/>
    </row>
    <row r="169" spans="3:18" x14ac:dyDescent="0.2">
      <c r="C169" s="8"/>
      <c r="D169" s="8"/>
      <c r="E169" s="8"/>
      <c r="F169" s="8"/>
      <c r="G169" s="8"/>
      <c r="H169" s="8"/>
      <c r="I169" s="8"/>
      <c r="J169" s="8"/>
      <c r="K169" s="8"/>
      <c r="L169" s="8"/>
      <c r="M169" s="8"/>
      <c r="N169" s="8"/>
      <c r="O169" s="8"/>
      <c r="P169" s="8"/>
      <c r="Q169" s="8"/>
      <c r="R169" s="8"/>
    </row>
    <row r="170" spans="3:18" x14ac:dyDescent="0.2">
      <c r="C170" s="8"/>
      <c r="D170" s="8"/>
      <c r="E170" s="8"/>
      <c r="F170" s="8"/>
      <c r="G170" s="8"/>
      <c r="H170" s="8"/>
      <c r="I170" s="8"/>
      <c r="J170" s="8"/>
      <c r="K170" s="8"/>
      <c r="L170" s="8"/>
      <c r="M170" s="8"/>
      <c r="N170" s="8"/>
      <c r="O170" s="8"/>
      <c r="P170" s="8"/>
      <c r="Q170" s="8"/>
      <c r="R170" s="8"/>
    </row>
    <row r="171" spans="3:18" x14ac:dyDescent="0.2">
      <c r="C171" s="8"/>
      <c r="D171" s="8"/>
      <c r="E171" s="8"/>
      <c r="F171" s="8"/>
      <c r="G171" s="8"/>
      <c r="H171" s="8"/>
      <c r="I171" s="8"/>
      <c r="J171" s="8"/>
      <c r="K171" s="8"/>
      <c r="L171" s="8"/>
      <c r="M171" s="8"/>
      <c r="N171" s="8"/>
      <c r="O171" s="8"/>
      <c r="P171" s="8"/>
      <c r="Q171" s="8"/>
      <c r="R171" s="8"/>
    </row>
    <row r="172" spans="3:18" x14ac:dyDescent="0.2">
      <c r="C172" s="8"/>
      <c r="D172" s="8"/>
      <c r="E172" s="8"/>
      <c r="F172" s="8"/>
      <c r="G172" s="8"/>
      <c r="H172" s="8"/>
      <c r="I172" s="8"/>
      <c r="J172" s="8"/>
      <c r="K172" s="8"/>
      <c r="L172" s="8"/>
      <c r="M172" s="8"/>
      <c r="N172" s="8"/>
      <c r="O172" s="8"/>
      <c r="P172" s="8"/>
      <c r="Q172" s="8"/>
      <c r="R172" s="8"/>
    </row>
    <row r="173" spans="3:18" x14ac:dyDescent="0.2">
      <c r="C173" s="8"/>
      <c r="D173" s="8"/>
      <c r="E173" s="8"/>
      <c r="F173" s="8"/>
      <c r="G173" s="8"/>
      <c r="H173" s="8"/>
      <c r="I173" s="8"/>
      <c r="J173" s="8"/>
      <c r="K173" s="8"/>
      <c r="L173" s="8"/>
      <c r="M173" s="8"/>
      <c r="N173" s="8"/>
      <c r="O173" s="8"/>
      <c r="P173" s="8"/>
      <c r="Q173" s="8"/>
      <c r="R173" s="8"/>
    </row>
    <row r="174" spans="3:18" x14ac:dyDescent="0.2">
      <c r="C174" s="8"/>
      <c r="D174" s="8"/>
      <c r="E174" s="8"/>
      <c r="F174" s="8"/>
      <c r="G174" s="8"/>
      <c r="H174" s="8"/>
      <c r="I174" s="8"/>
      <c r="J174" s="8"/>
      <c r="K174" s="8"/>
      <c r="L174" s="8"/>
      <c r="M174" s="8"/>
      <c r="N174" s="8"/>
      <c r="O174" s="8"/>
      <c r="P174" s="8"/>
      <c r="Q174" s="8"/>
      <c r="R174" s="8"/>
    </row>
    <row r="175" spans="3:18" x14ac:dyDescent="0.2">
      <c r="C175" s="8"/>
      <c r="D175" s="8"/>
      <c r="E175" s="8"/>
      <c r="F175" s="8"/>
      <c r="G175" s="8"/>
      <c r="H175" s="8"/>
      <c r="I175" s="8"/>
      <c r="J175" s="8"/>
      <c r="K175" s="8"/>
      <c r="L175" s="8"/>
      <c r="M175" s="8"/>
      <c r="N175" s="8"/>
      <c r="O175" s="8"/>
      <c r="P175" s="8"/>
      <c r="Q175" s="8"/>
      <c r="R175" s="8"/>
    </row>
    <row r="176" spans="3:18" x14ac:dyDescent="0.2">
      <c r="C176" s="8"/>
      <c r="D176" s="8"/>
      <c r="E176" s="8"/>
      <c r="F176" s="8"/>
      <c r="G176" s="8"/>
      <c r="H176" s="8"/>
      <c r="I176" s="8"/>
      <c r="J176" s="8"/>
      <c r="K176" s="8"/>
      <c r="L176" s="8"/>
      <c r="M176" s="8"/>
      <c r="N176" s="8"/>
      <c r="O176" s="8"/>
      <c r="P176" s="8"/>
      <c r="Q176" s="8"/>
      <c r="R176" s="8"/>
    </row>
    <row r="177" spans="3:18" x14ac:dyDescent="0.2">
      <c r="C177" s="8"/>
      <c r="D177" s="8"/>
      <c r="E177" s="8"/>
      <c r="F177" s="8"/>
      <c r="G177" s="8"/>
      <c r="H177" s="8"/>
      <c r="I177" s="8"/>
      <c r="J177" s="8"/>
      <c r="K177" s="8"/>
      <c r="L177" s="8"/>
      <c r="M177" s="8"/>
      <c r="N177" s="8"/>
      <c r="O177" s="8"/>
      <c r="P177" s="8"/>
      <c r="Q177" s="8"/>
      <c r="R177" s="8"/>
    </row>
    <row r="178" spans="3:18" x14ac:dyDescent="0.2">
      <c r="C178" s="8"/>
      <c r="D178" s="8"/>
      <c r="E178" s="8"/>
      <c r="F178" s="8"/>
      <c r="G178" s="8"/>
      <c r="H178" s="8"/>
      <c r="I178" s="8"/>
      <c r="J178" s="8"/>
      <c r="K178" s="8"/>
      <c r="L178" s="8"/>
      <c r="M178" s="8"/>
      <c r="N178" s="8"/>
      <c r="O178" s="8"/>
      <c r="P178" s="8"/>
      <c r="Q178" s="8"/>
      <c r="R178" s="8"/>
    </row>
    <row r="179" spans="3:18" x14ac:dyDescent="0.2">
      <c r="C179" s="8"/>
      <c r="D179" s="8"/>
      <c r="E179" s="8"/>
      <c r="F179" s="8"/>
      <c r="G179" s="8"/>
      <c r="H179" s="8"/>
      <c r="I179" s="8"/>
      <c r="J179" s="8"/>
      <c r="K179" s="8"/>
      <c r="L179" s="8"/>
      <c r="M179" s="8"/>
      <c r="N179" s="8"/>
      <c r="O179" s="8"/>
      <c r="P179" s="8"/>
      <c r="Q179" s="8"/>
      <c r="R179" s="8"/>
    </row>
    <row r="180" spans="3:18" x14ac:dyDescent="0.2">
      <c r="C180" s="8"/>
      <c r="D180" s="8"/>
      <c r="E180" s="8"/>
      <c r="F180" s="8"/>
      <c r="G180" s="8"/>
      <c r="H180" s="8"/>
      <c r="I180" s="8"/>
      <c r="J180" s="8"/>
      <c r="K180" s="8"/>
      <c r="L180" s="8"/>
      <c r="M180" s="8"/>
      <c r="N180" s="8"/>
      <c r="O180" s="8"/>
      <c r="P180" s="8"/>
      <c r="Q180" s="8"/>
      <c r="R180" s="8"/>
    </row>
    <row r="181" spans="3:18" x14ac:dyDescent="0.2">
      <c r="C181" s="8"/>
      <c r="D181" s="8"/>
      <c r="E181" s="8"/>
      <c r="F181" s="8"/>
      <c r="G181" s="8"/>
      <c r="H181" s="8"/>
      <c r="I181" s="8"/>
      <c r="J181" s="8"/>
      <c r="K181" s="8"/>
      <c r="L181" s="8"/>
      <c r="M181" s="8"/>
      <c r="N181" s="8"/>
      <c r="O181" s="8"/>
      <c r="P181" s="8"/>
      <c r="Q181" s="8"/>
      <c r="R181" s="8"/>
    </row>
    <row r="182" spans="3:18" x14ac:dyDescent="0.2">
      <c r="C182" s="8"/>
      <c r="D182" s="8"/>
      <c r="E182" s="8"/>
      <c r="F182" s="8"/>
      <c r="G182" s="8"/>
      <c r="H182" s="8"/>
      <c r="I182" s="8"/>
      <c r="J182" s="8"/>
      <c r="K182" s="8"/>
      <c r="L182" s="8"/>
      <c r="M182" s="8"/>
      <c r="N182" s="8"/>
      <c r="O182" s="8"/>
      <c r="P182" s="8"/>
      <c r="Q182" s="8"/>
      <c r="R182" s="8"/>
    </row>
    <row r="183" spans="3:18" x14ac:dyDescent="0.2">
      <c r="C183" s="8"/>
      <c r="D183" s="8"/>
      <c r="E183" s="8"/>
      <c r="F183" s="8"/>
      <c r="G183" s="8"/>
      <c r="H183" s="8"/>
      <c r="I183" s="8"/>
      <c r="J183" s="8"/>
      <c r="K183" s="8"/>
      <c r="L183" s="8"/>
      <c r="M183" s="8"/>
      <c r="N183" s="8"/>
      <c r="O183" s="8"/>
      <c r="P183" s="8"/>
      <c r="Q183" s="8"/>
      <c r="R183" s="8"/>
    </row>
    <row r="184" spans="3:18" x14ac:dyDescent="0.2">
      <c r="C184" s="8"/>
      <c r="D184" s="8"/>
      <c r="E184" s="8"/>
      <c r="F184" s="8"/>
      <c r="G184" s="8"/>
      <c r="H184" s="8"/>
      <c r="I184" s="8"/>
      <c r="J184" s="8"/>
      <c r="K184" s="8"/>
      <c r="L184" s="8"/>
      <c r="M184" s="8"/>
      <c r="N184" s="8"/>
      <c r="O184" s="8"/>
      <c r="P184" s="8"/>
      <c r="Q184" s="8"/>
      <c r="R184" s="8"/>
    </row>
    <row r="185" spans="3:18" x14ac:dyDescent="0.2">
      <c r="C185" s="8"/>
      <c r="D185" s="8"/>
      <c r="E185" s="8"/>
      <c r="F185" s="8"/>
      <c r="G185" s="8"/>
      <c r="H185" s="8"/>
      <c r="I185" s="8"/>
      <c r="J185" s="8"/>
      <c r="K185" s="8"/>
      <c r="L185" s="8"/>
      <c r="M185" s="8"/>
      <c r="N185" s="8"/>
      <c r="O185" s="8"/>
      <c r="P185" s="8"/>
      <c r="Q185" s="8"/>
      <c r="R185" s="8"/>
    </row>
    <row r="186" spans="3:18" x14ac:dyDescent="0.2">
      <c r="C186" s="8"/>
      <c r="D186" s="8"/>
      <c r="E186" s="8"/>
      <c r="F186" s="8"/>
      <c r="G186" s="8"/>
      <c r="H186" s="8"/>
      <c r="I186" s="8"/>
      <c r="J186" s="8"/>
      <c r="K186" s="8"/>
      <c r="L186" s="8"/>
      <c r="M186" s="8"/>
      <c r="N186" s="8"/>
      <c r="O186" s="8"/>
      <c r="P186" s="8"/>
      <c r="Q186" s="8"/>
      <c r="R186" s="8"/>
    </row>
    <row r="187" spans="3:18" x14ac:dyDescent="0.2">
      <c r="C187" s="8"/>
      <c r="D187" s="8"/>
      <c r="E187" s="8"/>
      <c r="F187" s="8"/>
      <c r="G187" s="8"/>
      <c r="H187" s="8"/>
      <c r="I187" s="8"/>
      <c r="J187" s="8"/>
      <c r="K187" s="8"/>
      <c r="L187" s="8"/>
      <c r="M187" s="8"/>
      <c r="N187" s="8"/>
      <c r="O187" s="8"/>
      <c r="P187" s="8"/>
      <c r="Q187" s="8"/>
      <c r="R187" s="8"/>
    </row>
    <row r="188" spans="3:18" x14ac:dyDescent="0.2">
      <c r="C188" s="8"/>
      <c r="D188" s="8"/>
      <c r="E188" s="8"/>
      <c r="F188" s="8"/>
      <c r="G188" s="8"/>
      <c r="H188" s="8"/>
      <c r="I188" s="8"/>
      <c r="J188" s="8"/>
      <c r="K188" s="8"/>
      <c r="L188" s="8"/>
      <c r="M188" s="8"/>
      <c r="N188" s="8"/>
      <c r="O188" s="8"/>
      <c r="P188" s="8"/>
      <c r="Q188" s="8"/>
      <c r="R188" s="8"/>
    </row>
    <row r="189" spans="3:18" x14ac:dyDescent="0.2">
      <c r="C189" s="8"/>
      <c r="D189" s="8"/>
      <c r="E189" s="8"/>
      <c r="F189" s="8"/>
      <c r="G189" s="8"/>
      <c r="H189" s="8"/>
      <c r="I189" s="8"/>
      <c r="J189" s="8"/>
      <c r="K189" s="8"/>
      <c r="L189" s="8"/>
      <c r="M189" s="8"/>
      <c r="N189" s="8"/>
      <c r="O189" s="8"/>
      <c r="P189" s="8"/>
      <c r="Q189" s="8"/>
      <c r="R189" s="8"/>
    </row>
    <row r="190" spans="3:18" x14ac:dyDescent="0.2">
      <c r="C190" s="8"/>
      <c r="D190" s="8"/>
      <c r="E190" s="8"/>
      <c r="F190" s="8"/>
      <c r="G190" s="8"/>
      <c r="H190" s="8"/>
      <c r="I190" s="8"/>
      <c r="J190" s="8"/>
      <c r="K190" s="8"/>
      <c r="L190" s="8"/>
      <c r="M190" s="8"/>
      <c r="N190" s="8"/>
      <c r="O190" s="8"/>
      <c r="P190" s="8"/>
      <c r="Q190" s="8"/>
      <c r="R190" s="8"/>
    </row>
    <row r="191" spans="3:18" x14ac:dyDescent="0.2">
      <c r="C191" s="8"/>
      <c r="D191" s="8"/>
      <c r="E191" s="8"/>
      <c r="F191" s="8"/>
      <c r="G191" s="8"/>
      <c r="H191" s="8"/>
      <c r="I191" s="8"/>
      <c r="J191" s="8"/>
      <c r="K191" s="8"/>
      <c r="L191" s="8"/>
      <c r="M191" s="8"/>
      <c r="N191" s="8"/>
      <c r="O191" s="8"/>
      <c r="P191" s="8"/>
      <c r="Q191" s="8"/>
      <c r="R191" s="8"/>
    </row>
    <row r="192" spans="3:18" x14ac:dyDescent="0.2">
      <c r="C192" s="8"/>
      <c r="D192" s="8"/>
      <c r="E192" s="8"/>
      <c r="F192" s="8"/>
      <c r="G192" s="8"/>
      <c r="H192" s="8"/>
      <c r="I192" s="8"/>
      <c r="J192" s="8"/>
      <c r="K192" s="8"/>
      <c r="L192" s="8"/>
      <c r="M192" s="8"/>
      <c r="N192" s="8"/>
      <c r="O192" s="8"/>
      <c r="P192" s="8"/>
      <c r="Q192" s="8"/>
      <c r="R192" s="8"/>
    </row>
    <row r="193" spans="3:18" x14ac:dyDescent="0.2">
      <c r="C193" s="8"/>
      <c r="D193" s="8"/>
      <c r="E193" s="8"/>
      <c r="F193" s="8"/>
      <c r="G193" s="8"/>
      <c r="H193" s="8"/>
      <c r="I193" s="8"/>
      <c r="J193" s="8"/>
      <c r="K193" s="8"/>
      <c r="L193" s="8"/>
      <c r="M193" s="8"/>
      <c r="N193" s="8"/>
      <c r="O193" s="8"/>
      <c r="P193" s="8"/>
      <c r="Q193" s="8"/>
      <c r="R193" s="8"/>
    </row>
    <row r="194" spans="3:18" x14ac:dyDescent="0.2">
      <c r="C194" s="8"/>
      <c r="D194" s="8"/>
      <c r="E194" s="8"/>
      <c r="F194" s="8"/>
      <c r="G194" s="8"/>
      <c r="H194" s="8"/>
      <c r="I194" s="8"/>
      <c r="J194" s="8"/>
      <c r="K194" s="8"/>
      <c r="L194" s="8"/>
      <c r="M194" s="8"/>
      <c r="N194" s="8"/>
      <c r="O194" s="8"/>
      <c r="P194" s="8"/>
      <c r="Q194" s="8"/>
      <c r="R194" s="8"/>
    </row>
    <row r="195" spans="3:18" x14ac:dyDescent="0.2">
      <c r="C195" s="8"/>
      <c r="D195" s="8"/>
      <c r="E195" s="8"/>
      <c r="F195" s="8"/>
      <c r="G195" s="8"/>
      <c r="H195" s="8"/>
      <c r="I195" s="8"/>
      <c r="J195" s="8"/>
      <c r="K195" s="8"/>
      <c r="L195" s="8"/>
      <c r="M195" s="8"/>
      <c r="N195" s="8"/>
      <c r="O195" s="8"/>
      <c r="P195" s="8"/>
      <c r="Q195" s="8"/>
      <c r="R195" s="8"/>
    </row>
    <row r="196" spans="3:18" x14ac:dyDescent="0.2">
      <c r="C196" s="8"/>
      <c r="D196" s="8"/>
      <c r="E196" s="8"/>
      <c r="F196" s="8"/>
      <c r="G196" s="8"/>
      <c r="H196" s="8"/>
      <c r="I196" s="8"/>
      <c r="J196" s="8"/>
      <c r="K196" s="8"/>
      <c r="L196" s="8"/>
      <c r="M196" s="8"/>
      <c r="N196" s="8"/>
      <c r="O196" s="8"/>
      <c r="P196" s="8"/>
      <c r="Q196" s="8"/>
      <c r="R196" s="8"/>
    </row>
    <row r="197" spans="3:18" x14ac:dyDescent="0.2">
      <c r="C197" s="8"/>
      <c r="D197" s="8"/>
      <c r="E197" s="8"/>
      <c r="F197" s="8"/>
      <c r="G197" s="8"/>
      <c r="H197" s="8"/>
      <c r="I197" s="8"/>
      <c r="J197" s="8"/>
      <c r="K197" s="8"/>
      <c r="L197" s="8"/>
      <c r="M197" s="8"/>
      <c r="N197" s="8"/>
      <c r="O197" s="8"/>
      <c r="P197" s="8"/>
      <c r="Q197" s="8"/>
      <c r="R197" s="8"/>
    </row>
    <row r="198" spans="3:18" x14ac:dyDescent="0.2">
      <c r="C198" s="8"/>
      <c r="D198" s="8"/>
      <c r="E198" s="8"/>
      <c r="F198" s="8"/>
      <c r="G198" s="8"/>
      <c r="H198" s="8"/>
      <c r="I198" s="8"/>
      <c r="J198" s="8"/>
      <c r="K198" s="8"/>
      <c r="L198" s="8"/>
      <c r="M198" s="8"/>
      <c r="N198" s="8"/>
      <c r="O198" s="8"/>
      <c r="P198" s="8"/>
      <c r="Q198" s="8"/>
      <c r="R198" s="8"/>
    </row>
    <row r="199" spans="3:18" x14ac:dyDescent="0.2">
      <c r="C199" s="8"/>
      <c r="D199" s="8"/>
      <c r="E199" s="8"/>
      <c r="F199" s="8"/>
      <c r="G199" s="8"/>
      <c r="H199" s="8"/>
      <c r="I199" s="8"/>
      <c r="J199" s="8"/>
      <c r="K199" s="8"/>
      <c r="L199" s="8"/>
      <c r="M199" s="8"/>
      <c r="N199" s="8"/>
      <c r="O199" s="8"/>
      <c r="P199" s="8"/>
      <c r="Q199" s="8"/>
      <c r="R199" s="8"/>
    </row>
    <row r="200" spans="3:18" x14ac:dyDescent="0.2">
      <c r="C200" s="8"/>
      <c r="D200" s="8"/>
      <c r="E200" s="8"/>
      <c r="F200" s="8"/>
      <c r="G200" s="8"/>
      <c r="H200" s="8"/>
      <c r="I200" s="8"/>
      <c r="J200" s="8"/>
      <c r="K200" s="8"/>
      <c r="L200" s="8"/>
      <c r="M200" s="8"/>
      <c r="N200" s="8"/>
      <c r="O200" s="8"/>
      <c r="P200" s="8"/>
      <c r="Q200" s="8"/>
      <c r="R200" s="8"/>
    </row>
    <row r="201" spans="3:18" x14ac:dyDescent="0.2">
      <c r="C201" s="8"/>
      <c r="D201" s="8"/>
      <c r="E201" s="8"/>
      <c r="F201" s="8"/>
      <c r="G201" s="8"/>
      <c r="H201" s="8"/>
      <c r="I201" s="8"/>
      <c r="J201" s="8"/>
      <c r="K201" s="8"/>
      <c r="L201" s="8"/>
      <c r="M201" s="8"/>
      <c r="N201" s="8"/>
      <c r="O201" s="8"/>
      <c r="P201" s="8"/>
      <c r="Q201" s="8"/>
      <c r="R201" s="8"/>
    </row>
    <row r="202" spans="3:18" x14ac:dyDescent="0.2">
      <c r="C202" s="8"/>
      <c r="D202" s="8"/>
      <c r="E202" s="8"/>
      <c r="F202" s="8"/>
      <c r="G202" s="8"/>
      <c r="H202" s="8"/>
      <c r="I202" s="8"/>
      <c r="J202" s="8"/>
      <c r="K202" s="8"/>
      <c r="L202" s="8"/>
      <c r="M202" s="8"/>
      <c r="N202" s="8"/>
      <c r="O202" s="8"/>
      <c r="P202" s="8"/>
      <c r="Q202" s="8"/>
      <c r="R202" s="8"/>
    </row>
    <row r="203" spans="3:18" x14ac:dyDescent="0.2">
      <c r="C203" s="8"/>
      <c r="D203" s="8"/>
      <c r="E203" s="8"/>
      <c r="F203" s="8"/>
      <c r="G203" s="8"/>
      <c r="H203" s="8"/>
      <c r="I203" s="8"/>
      <c r="J203" s="8"/>
      <c r="K203" s="8"/>
      <c r="L203" s="8"/>
      <c r="M203" s="8"/>
      <c r="N203" s="8"/>
      <c r="O203" s="8"/>
      <c r="P203" s="8"/>
      <c r="Q203" s="8"/>
      <c r="R203" s="8"/>
    </row>
    <row r="204" spans="3:18" x14ac:dyDescent="0.2">
      <c r="C204" s="8"/>
      <c r="D204" s="8"/>
      <c r="E204" s="8"/>
      <c r="F204" s="8"/>
      <c r="G204" s="8"/>
      <c r="H204" s="8"/>
      <c r="I204" s="8"/>
      <c r="J204" s="8"/>
      <c r="K204" s="8"/>
      <c r="L204" s="8"/>
      <c r="M204" s="8"/>
      <c r="N204" s="8"/>
      <c r="O204" s="8"/>
      <c r="P204" s="8"/>
      <c r="Q204" s="8"/>
      <c r="R204" s="8"/>
    </row>
    <row r="205" spans="3:18" x14ac:dyDescent="0.2">
      <c r="C205" s="8"/>
      <c r="D205" s="8"/>
      <c r="E205" s="8"/>
      <c r="F205" s="8"/>
      <c r="G205" s="8"/>
      <c r="H205" s="8"/>
      <c r="I205" s="8"/>
      <c r="J205" s="8"/>
      <c r="K205" s="8"/>
      <c r="L205" s="8"/>
      <c r="M205" s="8"/>
      <c r="N205" s="8"/>
      <c r="O205" s="8"/>
      <c r="P205" s="8"/>
      <c r="Q205" s="8"/>
      <c r="R205" s="8"/>
    </row>
    <row r="206" spans="3:18" x14ac:dyDescent="0.2">
      <c r="C206" s="8"/>
      <c r="D206" s="8"/>
      <c r="E206" s="8"/>
      <c r="F206" s="8"/>
      <c r="G206" s="8"/>
      <c r="H206" s="8"/>
      <c r="I206" s="8"/>
      <c r="J206" s="8"/>
      <c r="K206" s="8"/>
      <c r="L206" s="8"/>
      <c r="M206" s="8"/>
      <c r="N206" s="8"/>
      <c r="O206" s="8"/>
      <c r="P206" s="8"/>
      <c r="Q206" s="8"/>
      <c r="R206" s="8"/>
    </row>
    <row r="207" spans="3:18" x14ac:dyDescent="0.2">
      <c r="C207" s="8"/>
      <c r="D207" s="8"/>
      <c r="E207" s="8"/>
      <c r="F207" s="8"/>
      <c r="G207" s="8"/>
      <c r="H207" s="8"/>
      <c r="I207" s="8"/>
      <c r="J207" s="8"/>
      <c r="K207" s="8"/>
      <c r="L207" s="8"/>
      <c r="M207" s="8"/>
      <c r="N207" s="8"/>
      <c r="O207" s="8"/>
      <c r="P207" s="8"/>
      <c r="Q207" s="8"/>
      <c r="R207" s="8"/>
    </row>
    <row r="208" spans="3:18" x14ac:dyDescent="0.2">
      <c r="C208" s="8"/>
      <c r="D208" s="8"/>
      <c r="E208" s="8"/>
      <c r="F208" s="8"/>
      <c r="G208" s="8"/>
      <c r="H208" s="8"/>
      <c r="I208" s="8"/>
      <c r="J208" s="8"/>
      <c r="K208" s="8"/>
      <c r="L208" s="8"/>
      <c r="M208" s="8"/>
      <c r="N208" s="8"/>
      <c r="O208" s="8"/>
      <c r="P208" s="8"/>
      <c r="Q208" s="8"/>
      <c r="R208" s="8"/>
    </row>
    <row r="209" spans="3:18" x14ac:dyDescent="0.2">
      <c r="C209" s="8"/>
      <c r="D209" s="8"/>
      <c r="E209" s="8"/>
      <c r="F209" s="8"/>
      <c r="G209" s="8"/>
      <c r="H209" s="8"/>
      <c r="I209" s="8"/>
      <c r="J209" s="8"/>
      <c r="K209" s="8"/>
      <c r="L209" s="8"/>
      <c r="M209" s="8"/>
      <c r="N209" s="8"/>
      <c r="O209" s="8"/>
      <c r="P209" s="8"/>
      <c r="Q209" s="8"/>
      <c r="R209" s="8"/>
    </row>
    <row r="210" spans="3:18" x14ac:dyDescent="0.2">
      <c r="C210" s="8"/>
      <c r="D210" s="8"/>
      <c r="E210" s="8"/>
      <c r="F210" s="8"/>
      <c r="G210" s="8"/>
      <c r="H210" s="8"/>
      <c r="I210" s="8"/>
      <c r="J210" s="8"/>
      <c r="K210" s="8"/>
      <c r="L210" s="8"/>
      <c r="M210" s="8"/>
      <c r="N210" s="8"/>
      <c r="O210" s="8"/>
      <c r="P210" s="8"/>
      <c r="Q210" s="8"/>
      <c r="R210" s="8"/>
    </row>
    <row r="211" spans="3:18" x14ac:dyDescent="0.2">
      <c r="C211" s="8"/>
      <c r="D211" s="8"/>
      <c r="E211" s="8"/>
      <c r="F211" s="8"/>
      <c r="G211" s="8"/>
      <c r="H211" s="8"/>
      <c r="I211" s="8"/>
      <c r="J211" s="8"/>
      <c r="K211" s="8"/>
      <c r="L211" s="8"/>
      <c r="M211" s="8"/>
      <c r="N211" s="8"/>
      <c r="O211" s="8"/>
      <c r="P211" s="8"/>
      <c r="Q211" s="8"/>
      <c r="R211" s="8"/>
    </row>
    <row r="212" spans="3:18" x14ac:dyDescent="0.2">
      <c r="C212" s="8"/>
      <c r="D212" s="8"/>
      <c r="E212" s="8"/>
      <c r="F212" s="8"/>
      <c r="G212" s="8"/>
      <c r="H212" s="8"/>
      <c r="I212" s="8"/>
      <c r="J212" s="8"/>
      <c r="K212" s="8"/>
      <c r="L212" s="8"/>
      <c r="M212" s="8"/>
      <c r="N212" s="8"/>
      <c r="O212" s="8"/>
      <c r="P212" s="8"/>
      <c r="Q212" s="8"/>
      <c r="R212" s="8"/>
    </row>
    <row r="213" spans="3:18" x14ac:dyDescent="0.2">
      <c r="C213" s="8"/>
      <c r="D213" s="8"/>
      <c r="E213" s="8"/>
      <c r="F213" s="8"/>
      <c r="G213" s="8"/>
      <c r="H213" s="8"/>
      <c r="I213" s="8"/>
      <c r="J213" s="8"/>
      <c r="K213" s="8"/>
      <c r="L213" s="8"/>
      <c r="M213" s="8"/>
      <c r="N213" s="8"/>
      <c r="O213" s="8"/>
      <c r="P213" s="8"/>
      <c r="Q213" s="8"/>
      <c r="R213" s="8"/>
    </row>
    <row r="214" spans="3:18" x14ac:dyDescent="0.2">
      <c r="C214" s="8"/>
      <c r="D214" s="8"/>
      <c r="E214" s="8"/>
      <c r="F214" s="8"/>
      <c r="G214" s="8"/>
      <c r="H214" s="8"/>
      <c r="I214" s="8"/>
      <c r="J214" s="8"/>
      <c r="K214" s="8"/>
      <c r="L214" s="8"/>
      <c r="M214" s="8"/>
      <c r="N214" s="8"/>
      <c r="O214" s="8"/>
      <c r="P214" s="8"/>
      <c r="Q214" s="8"/>
      <c r="R214" s="8"/>
    </row>
    <row r="215" spans="3:18" x14ac:dyDescent="0.2">
      <c r="C215" s="8"/>
      <c r="D215" s="8"/>
      <c r="E215" s="8"/>
      <c r="F215" s="8"/>
      <c r="G215" s="8"/>
      <c r="H215" s="8"/>
      <c r="I215" s="8"/>
      <c r="J215" s="8"/>
      <c r="K215" s="8"/>
      <c r="L215" s="8"/>
      <c r="M215" s="8"/>
      <c r="N215" s="8"/>
      <c r="O215" s="8"/>
      <c r="P215" s="8"/>
      <c r="Q215" s="8"/>
      <c r="R215" s="8"/>
    </row>
    <row r="216" spans="3:18" x14ac:dyDescent="0.2">
      <c r="C216" s="8"/>
      <c r="D216" s="8"/>
      <c r="E216" s="8"/>
      <c r="F216" s="8"/>
      <c r="G216" s="8"/>
      <c r="H216" s="8"/>
      <c r="I216" s="8"/>
      <c r="J216" s="8"/>
      <c r="K216" s="8"/>
      <c r="L216" s="8"/>
      <c r="M216" s="8"/>
      <c r="N216" s="8"/>
      <c r="O216" s="8"/>
      <c r="P216" s="8"/>
      <c r="Q216" s="8"/>
      <c r="R216" s="8"/>
    </row>
    <row r="217" spans="3:18" x14ac:dyDescent="0.2">
      <c r="C217" s="8"/>
      <c r="D217" s="8"/>
      <c r="E217" s="8"/>
      <c r="F217" s="8"/>
      <c r="G217" s="8"/>
      <c r="H217" s="8"/>
      <c r="I217" s="8"/>
      <c r="J217" s="8"/>
      <c r="K217" s="8"/>
      <c r="L217" s="8"/>
      <c r="M217" s="8"/>
      <c r="N217" s="8"/>
      <c r="O217" s="8"/>
      <c r="P217" s="8"/>
      <c r="Q217" s="8"/>
      <c r="R217" s="8"/>
    </row>
    <row r="218" spans="3:18" x14ac:dyDescent="0.2">
      <c r="C218" s="8"/>
      <c r="D218" s="8"/>
      <c r="E218" s="8"/>
      <c r="F218" s="8"/>
      <c r="G218" s="8"/>
      <c r="H218" s="8"/>
      <c r="I218" s="8"/>
      <c r="J218" s="8"/>
      <c r="K218" s="8"/>
      <c r="L218" s="8"/>
      <c r="M218" s="8"/>
      <c r="N218" s="8"/>
      <c r="O218" s="8"/>
      <c r="P218" s="8"/>
      <c r="Q218" s="8"/>
      <c r="R218" s="8"/>
    </row>
    <row r="219" spans="3:18" x14ac:dyDescent="0.2">
      <c r="C219" s="8"/>
      <c r="D219" s="8"/>
      <c r="E219" s="8"/>
      <c r="F219" s="8"/>
      <c r="G219" s="8"/>
      <c r="H219" s="8"/>
      <c r="I219" s="8"/>
      <c r="J219" s="8"/>
      <c r="K219" s="8"/>
      <c r="L219" s="8"/>
      <c r="M219" s="8"/>
      <c r="N219" s="8"/>
      <c r="O219" s="8"/>
      <c r="P219" s="8"/>
      <c r="Q219" s="8"/>
      <c r="R219" s="8"/>
    </row>
    <row r="220" spans="3:18" x14ac:dyDescent="0.2">
      <c r="C220" s="8"/>
      <c r="D220" s="8"/>
      <c r="E220" s="8"/>
      <c r="F220" s="8"/>
      <c r="G220" s="8"/>
      <c r="H220" s="8"/>
      <c r="I220" s="8"/>
      <c r="J220" s="8"/>
      <c r="K220" s="8"/>
      <c r="L220" s="8"/>
      <c r="M220" s="8"/>
      <c r="N220" s="8"/>
      <c r="O220" s="8"/>
      <c r="P220" s="8"/>
      <c r="Q220" s="8"/>
      <c r="R220" s="8"/>
    </row>
    <row r="221" spans="3:18" x14ac:dyDescent="0.2">
      <c r="C221" s="8"/>
      <c r="D221" s="8"/>
      <c r="E221" s="8"/>
      <c r="F221" s="8"/>
      <c r="G221" s="8"/>
      <c r="H221" s="8"/>
      <c r="I221" s="8"/>
      <c r="J221" s="8"/>
      <c r="K221" s="8"/>
      <c r="L221" s="8"/>
      <c r="M221" s="8"/>
      <c r="N221" s="8"/>
      <c r="O221" s="8"/>
      <c r="P221" s="8"/>
      <c r="Q221" s="8"/>
      <c r="R221" s="8"/>
    </row>
    <row r="222" spans="3:18" x14ac:dyDescent="0.2">
      <c r="C222" s="8"/>
      <c r="D222" s="8"/>
      <c r="E222" s="8"/>
      <c r="F222" s="8"/>
      <c r="G222" s="8"/>
      <c r="H222" s="8"/>
      <c r="I222" s="8"/>
      <c r="J222" s="8"/>
      <c r="K222" s="8"/>
      <c r="L222" s="8"/>
      <c r="M222" s="8"/>
      <c r="N222" s="8"/>
      <c r="O222" s="8"/>
      <c r="P222" s="8"/>
      <c r="Q222" s="8"/>
      <c r="R222" s="8"/>
    </row>
    <row r="223" spans="3:18" x14ac:dyDescent="0.2">
      <c r="C223" s="8"/>
      <c r="D223" s="8"/>
      <c r="E223" s="8"/>
      <c r="F223" s="8"/>
      <c r="G223" s="8"/>
      <c r="H223" s="8"/>
      <c r="I223" s="8"/>
      <c r="J223" s="8"/>
      <c r="K223" s="8"/>
      <c r="L223" s="8"/>
      <c r="M223" s="8"/>
      <c r="N223" s="8"/>
      <c r="O223" s="8"/>
      <c r="P223" s="8"/>
      <c r="Q223" s="8"/>
      <c r="R223" s="8"/>
    </row>
    <row r="224" spans="3:18" x14ac:dyDescent="0.2">
      <c r="C224" s="8"/>
      <c r="D224" s="8"/>
      <c r="E224" s="8"/>
      <c r="F224" s="8"/>
      <c r="G224" s="8"/>
      <c r="H224" s="8"/>
      <c r="I224" s="8"/>
      <c r="J224" s="8"/>
      <c r="K224" s="8"/>
      <c r="L224" s="8"/>
      <c r="M224" s="8"/>
      <c r="N224" s="8"/>
      <c r="O224" s="8"/>
      <c r="P224" s="8"/>
      <c r="Q224" s="8"/>
      <c r="R224" s="8"/>
    </row>
    <row r="225" spans="3:18" x14ac:dyDescent="0.2">
      <c r="C225" s="8"/>
      <c r="D225" s="8"/>
      <c r="E225" s="8"/>
      <c r="F225" s="8"/>
      <c r="G225" s="8"/>
      <c r="H225" s="8"/>
      <c r="I225" s="8"/>
      <c r="J225" s="8"/>
      <c r="K225" s="8"/>
      <c r="L225" s="8"/>
      <c r="M225" s="8"/>
      <c r="N225" s="8"/>
      <c r="O225" s="8"/>
      <c r="P225" s="8"/>
      <c r="Q225" s="8"/>
      <c r="R225" s="8"/>
    </row>
    <row r="226" spans="3:18" x14ac:dyDescent="0.2">
      <c r="C226" s="8"/>
      <c r="D226" s="8"/>
      <c r="E226" s="8"/>
      <c r="F226" s="8"/>
      <c r="G226" s="8"/>
      <c r="H226" s="8"/>
      <c r="I226" s="8"/>
      <c r="J226" s="8"/>
      <c r="K226" s="8"/>
      <c r="L226" s="8"/>
      <c r="M226" s="8"/>
      <c r="N226" s="8"/>
      <c r="O226" s="8"/>
      <c r="P226" s="8"/>
      <c r="Q226" s="8"/>
      <c r="R226" s="8"/>
    </row>
    <row r="227" spans="3:18" x14ac:dyDescent="0.2">
      <c r="C227" s="8"/>
      <c r="D227" s="8"/>
      <c r="E227" s="8"/>
      <c r="F227" s="8"/>
      <c r="G227" s="8"/>
      <c r="H227" s="8"/>
      <c r="I227" s="8"/>
      <c r="J227" s="8"/>
      <c r="K227" s="8"/>
      <c r="L227" s="8"/>
      <c r="M227" s="8"/>
      <c r="N227" s="8"/>
      <c r="O227" s="8"/>
      <c r="P227" s="8"/>
      <c r="Q227" s="8"/>
      <c r="R227" s="8"/>
    </row>
    <row r="228" spans="3:18" x14ac:dyDescent="0.2">
      <c r="C228" s="8"/>
      <c r="D228" s="8"/>
      <c r="E228" s="8"/>
      <c r="F228" s="8"/>
      <c r="G228" s="8"/>
      <c r="H228" s="8"/>
      <c r="I228" s="8"/>
      <c r="J228" s="8"/>
      <c r="K228" s="8"/>
      <c r="L228" s="8"/>
      <c r="M228" s="8"/>
      <c r="N228" s="8"/>
      <c r="O228" s="8"/>
      <c r="P228" s="8"/>
      <c r="Q228" s="8"/>
      <c r="R228" s="8"/>
    </row>
    <row r="229" spans="3:18" x14ac:dyDescent="0.2">
      <c r="C229" s="8"/>
      <c r="D229" s="8"/>
      <c r="E229" s="8"/>
      <c r="F229" s="8"/>
      <c r="G229" s="8"/>
      <c r="H229" s="8"/>
      <c r="I229" s="8"/>
      <c r="J229" s="8"/>
      <c r="K229" s="8"/>
      <c r="L229" s="8"/>
      <c r="M229" s="8"/>
      <c r="N229" s="8"/>
      <c r="O229" s="8"/>
      <c r="P229" s="8"/>
      <c r="Q229" s="8"/>
      <c r="R229" s="8"/>
    </row>
    <row r="230" spans="3:18" x14ac:dyDescent="0.2">
      <c r="C230" s="8"/>
      <c r="D230" s="8"/>
      <c r="E230" s="8"/>
      <c r="F230" s="8"/>
      <c r="G230" s="8"/>
      <c r="H230" s="8"/>
      <c r="I230" s="8"/>
      <c r="J230" s="8"/>
      <c r="K230" s="8"/>
      <c r="L230" s="8"/>
      <c r="M230" s="8"/>
      <c r="N230" s="8"/>
      <c r="O230" s="8"/>
      <c r="P230" s="8"/>
      <c r="Q230" s="8"/>
      <c r="R230" s="8"/>
    </row>
    <row r="231" spans="3:18" x14ac:dyDescent="0.2">
      <c r="C231" s="8"/>
      <c r="D231" s="8"/>
      <c r="E231" s="8"/>
      <c r="F231" s="8"/>
      <c r="G231" s="8"/>
      <c r="H231" s="8"/>
      <c r="I231" s="8"/>
      <c r="J231" s="8"/>
      <c r="K231" s="8"/>
      <c r="L231" s="8"/>
      <c r="M231" s="8"/>
      <c r="N231" s="8"/>
      <c r="O231" s="8"/>
      <c r="P231" s="8"/>
      <c r="Q231" s="8"/>
      <c r="R231" s="8"/>
    </row>
    <row r="232" spans="3:18" x14ac:dyDescent="0.2">
      <c r="C232" s="8"/>
      <c r="D232" s="8"/>
      <c r="E232" s="8"/>
      <c r="F232" s="8"/>
      <c r="G232" s="8"/>
      <c r="H232" s="8"/>
      <c r="I232" s="8"/>
      <c r="J232" s="8"/>
      <c r="K232" s="8"/>
      <c r="L232" s="8"/>
      <c r="M232" s="8"/>
      <c r="N232" s="8"/>
      <c r="O232" s="8"/>
      <c r="P232" s="8"/>
      <c r="Q232" s="8"/>
      <c r="R232" s="8"/>
    </row>
    <row r="233" spans="3:18" x14ac:dyDescent="0.2">
      <c r="C233" s="8"/>
      <c r="D233" s="8"/>
      <c r="E233" s="8"/>
      <c r="F233" s="8"/>
      <c r="G233" s="8"/>
      <c r="H233" s="8"/>
      <c r="I233" s="8"/>
      <c r="J233" s="8"/>
      <c r="K233" s="8"/>
      <c r="L233" s="8"/>
      <c r="M233" s="8"/>
      <c r="N233" s="8"/>
      <c r="O233" s="8"/>
      <c r="P233" s="8"/>
      <c r="Q233" s="8"/>
      <c r="R233" s="8"/>
    </row>
    <row r="234" spans="3:18" x14ac:dyDescent="0.2">
      <c r="C234" s="8"/>
      <c r="D234" s="8"/>
      <c r="E234" s="8"/>
      <c r="F234" s="8"/>
      <c r="G234" s="8"/>
      <c r="H234" s="8"/>
      <c r="I234" s="8"/>
      <c r="J234" s="8"/>
      <c r="K234" s="8"/>
      <c r="L234" s="8"/>
      <c r="M234" s="8"/>
      <c r="N234" s="8"/>
      <c r="O234" s="8"/>
      <c r="P234" s="8"/>
      <c r="Q234" s="8"/>
      <c r="R234" s="8"/>
    </row>
    <row r="235" spans="3:18" x14ac:dyDescent="0.2">
      <c r="C235" s="8"/>
      <c r="D235" s="8"/>
      <c r="E235" s="8"/>
      <c r="F235" s="8"/>
      <c r="G235" s="8"/>
      <c r="H235" s="8"/>
      <c r="I235" s="8"/>
      <c r="J235" s="8"/>
      <c r="K235" s="8"/>
      <c r="L235" s="8"/>
      <c r="M235" s="8"/>
      <c r="N235" s="8"/>
      <c r="O235" s="8"/>
      <c r="P235" s="8"/>
      <c r="Q235" s="8"/>
      <c r="R235" s="8"/>
    </row>
    <row r="236" spans="3:18" x14ac:dyDescent="0.2">
      <c r="C236" s="8"/>
      <c r="D236" s="8"/>
      <c r="E236" s="8"/>
      <c r="F236" s="8"/>
      <c r="G236" s="8"/>
      <c r="H236" s="8"/>
      <c r="I236" s="8"/>
      <c r="J236" s="8"/>
      <c r="K236" s="8"/>
      <c r="L236" s="8"/>
      <c r="M236" s="8"/>
      <c r="N236" s="8"/>
      <c r="O236" s="8"/>
      <c r="P236" s="8"/>
      <c r="Q236" s="8"/>
      <c r="R236" s="8"/>
    </row>
    <row r="237" spans="3:18" x14ac:dyDescent="0.2">
      <c r="C237" s="8"/>
      <c r="D237" s="8"/>
      <c r="E237" s="8"/>
      <c r="F237" s="8"/>
      <c r="G237" s="8"/>
      <c r="H237" s="8"/>
      <c r="I237" s="8"/>
      <c r="J237" s="8"/>
      <c r="K237" s="8"/>
      <c r="L237" s="8"/>
      <c r="M237" s="8"/>
      <c r="N237" s="8"/>
      <c r="O237" s="8"/>
      <c r="P237" s="8"/>
      <c r="Q237" s="8"/>
      <c r="R237" s="8"/>
    </row>
    <row r="238" spans="3:18" x14ac:dyDescent="0.2">
      <c r="C238" s="8"/>
      <c r="D238" s="8"/>
      <c r="E238" s="8"/>
      <c r="F238" s="8"/>
      <c r="G238" s="8"/>
      <c r="H238" s="8"/>
      <c r="I238" s="8"/>
      <c r="J238" s="8"/>
      <c r="K238" s="8"/>
      <c r="L238" s="8"/>
      <c r="M238" s="8"/>
      <c r="N238" s="8"/>
      <c r="O238" s="8"/>
      <c r="P238" s="8"/>
      <c r="Q238" s="8"/>
      <c r="R238" s="8"/>
    </row>
    <row r="239" spans="3:18" x14ac:dyDescent="0.2">
      <c r="C239" s="8"/>
      <c r="D239" s="8"/>
      <c r="E239" s="8"/>
      <c r="F239" s="8"/>
      <c r="G239" s="8"/>
      <c r="H239" s="8"/>
      <c r="I239" s="8"/>
      <c r="J239" s="8"/>
      <c r="K239" s="8"/>
      <c r="L239" s="8"/>
      <c r="M239" s="8"/>
      <c r="N239" s="8"/>
      <c r="O239" s="8"/>
      <c r="P239" s="8"/>
      <c r="Q239" s="8"/>
      <c r="R239" s="8"/>
    </row>
    <row r="240" spans="3:18" x14ac:dyDescent="0.2">
      <c r="C240" s="8"/>
      <c r="D240" s="8"/>
      <c r="E240" s="8"/>
      <c r="F240" s="8"/>
      <c r="G240" s="8"/>
      <c r="H240" s="8"/>
      <c r="I240" s="8"/>
      <c r="J240" s="8"/>
      <c r="K240" s="8"/>
      <c r="L240" s="8"/>
      <c r="M240" s="8"/>
      <c r="N240" s="8"/>
      <c r="O240" s="8"/>
      <c r="P240" s="8"/>
      <c r="Q240" s="8"/>
      <c r="R240" s="8"/>
    </row>
    <row r="241" spans="3:18" x14ac:dyDescent="0.2">
      <c r="C241" s="8"/>
      <c r="D241" s="8"/>
      <c r="E241" s="8"/>
      <c r="F241" s="8"/>
      <c r="G241" s="8"/>
      <c r="H241" s="8"/>
      <c r="I241" s="8"/>
      <c r="J241" s="8"/>
      <c r="K241" s="8"/>
      <c r="L241" s="8"/>
      <c r="M241" s="8"/>
      <c r="N241" s="8"/>
      <c r="O241" s="8"/>
      <c r="P241" s="8"/>
      <c r="Q241" s="8"/>
      <c r="R241" s="8"/>
    </row>
    <row r="242" spans="3:18" x14ac:dyDescent="0.2">
      <c r="C242" s="8"/>
      <c r="D242" s="8"/>
      <c r="E242" s="8"/>
      <c r="F242" s="8"/>
      <c r="G242" s="8"/>
      <c r="H242" s="8"/>
      <c r="I242" s="8"/>
      <c r="J242" s="8"/>
      <c r="K242" s="8"/>
      <c r="L242" s="8"/>
      <c r="M242" s="8"/>
      <c r="N242" s="8"/>
      <c r="O242" s="8"/>
      <c r="P242" s="8"/>
      <c r="Q242" s="8"/>
      <c r="R242" s="8"/>
    </row>
    <row r="243" spans="3:18" x14ac:dyDescent="0.2">
      <c r="C243" s="8"/>
      <c r="D243" s="8"/>
      <c r="E243" s="8"/>
      <c r="F243" s="8"/>
      <c r="G243" s="8"/>
      <c r="H243" s="8"/>
      <c r="I243" s="8"/>
      <c r="J243" s="8"/>
      <c r="K243" s="8"/>
      <c r="L243" s="8"/>
      <c r="M243" s="8"/>
      <c r="N243" s="8"/>
      <c r="O243" s="8"/>
      <c r="P243" s="8"/>
      <c r="Q243" s="8"/>
      <c r="R243" s="8"/>
    </row>
    <row r="244" spans="3:18" x14ac:dyDescent="0.2">
      <c r="C244" s="8"/>
      <c r="D244" s="8"/>
      <c r="E244" s="8"/>
      <c r="F244" s="8"/>
      <c r="G244" s="8"/>
      <c r="H244" s="8"/>
      <c r="I244" s="8"/>
      <c r="J244" s="8"/>
      <c r="K244" s="8"/>
      <c r="L244" s="8"/>
      <c r="M244" s="8"/>
      <c r="N244" s="8"/>
      <c r="O244" s="8"/>
      <c r="P244" s="8"/>
      <c r="Q244" s="8"/>
      <c r="R244" s="8"/>
    </row>
    <row r="245" spans="3:18" x14ac:dyDescent="0.2">
      <c r="C245" s="8"/>
      <c r="D245" s="8"/>
      <c r="E245" s="8"/>
      <c r="F245" s="8"/>
      <c r="G245" s="8"/>
      <c r="H245" s="8"/>
      <c r="I245" s="8"/>
      <c r="J245" s="8"/>
      <c r="K245" s="8"/>
      <c r="L245" s="8"/>
      <c r="M245" s="8"/>
      <c r="N245" s="8"/>
      <c r="O245" s="8"/>
      <c r="P245" s="8"/>
      <c r="Q245" s="8"/>
      <c r="R245" s="8"/>
    </row>
    <row r="246" spans="3:18" x14ac:dyDescent="0.2">
      <c r="C246" s="8"/>
      <c r="D246" s="8"/>
      <c r="E246" s="8"/>
      <c r="F246" s="8"/>
      <c r="G246" s="8"/>
      <c r="H246" s="8"/>
      <c r="I246" s="8"/>
      <c r="J246" s="8"/>
      <c r="K246" s="8"/>
      <c r="L246" s="8"/>
      <c r="M246" s="8"/>
      <c r="N246" s="8"/>
      <c r="O246" s="8"/>
      <c r="P246" s="8"/>
      <c r="Q246" s="8"/>
      <c r="R246" s="8"/>
    </row>
    <row r="247" spans="3:18" x14ac:dyDescent="0.2">
      <c r="C247" s="8"/>
      <c r="D247" s="8"/>
      <c r="E247" s="8"/>
      <c r="F247" s="8"/>
      <c r="G247" s="8"/>
      <c r="H247" s="8"/>
      <c r="I247" s="8"/>
      <c r="J247" s="8"/>
      <c r="K247" s="8"/>
      <c r="L247" s="8"/>
      <c r="M247" s="8"/>
      <c r="N247" s="8"/>
      <c r="O247" s="8"/>
      <c r="P247" s="8"/>
      <c r="Q247" s="8"/>
      <c r="R247" s="8"/>
    </row>
    <row r="248" spans="3:18" x14ac:dyDescent="0.2">
      <c r="C248" s="8"/>
      <c r="D248" s="8"/>
      <c r="E248" s="8"/>
      <c r="F248" s="8"/>
      <c r="G248" s="8"/>
      <c r="H248" s="8"/>
      <c r="I248" s="8"/>
      <c r="J248" s="8"/>
      <c r="K248" s="8"/>
      <c r="L248" s="8"/>
      <c r="M248" s="8"/>
      <c r="N248" s="8"/>
      <c r="O248" s="8"/>
      <c r="P248" s="8"/>
      <c r="Q248" s="8"/>
      <c r="R248" s="8"/>
    </row>
    <row r="249" spans="3:18" x14ac:dyDescent="0.2">
      <c r="C249" s="8"/>
      <c r="D249" s="8"/>
      <c r="E249" s="8"/>
      <c r="F249" s="8"/>
      <c r="G249" s="8"/>
      <c r="H249" s="8"/>
      <c r="I249" s="8"/>
      <c r="J249" s="8"/>
      <c r="K249" s="8"/>
      <c r="L249" s="8"/>
      <c r="M249" s="8"/>
      <c r="N249" s="8"/>
      <c r="O249" s="8"/>
      <c r="P249" s="8"/>
      <c r="Q249" s="8"/>
      <c r="R249" s="8"/>
    </row>
    <row r="250" spans="3:18" x14ac:dyDescent="0.2">
      <c r="C250" s="8"/>
      <c r="D250" s="8"/>
      <c r="E250" s="8"/>
      <c r="F250" s="8"/>
      <c r="G250" s="8"/>
      <c r="H250" s="8"/>
      <c r="I250" s="8"/>
      <c r="J250" s="8"/>
      <c r="K250" s="8"/>
      <c r="L250" s="8"/>
      <c r="M250" s="8"/>
      <c r="N250" s="8"/>
      <c r="O250" s="8"/>
      <c r="P250" s="8"/>
      <c r="Q250" s="8"/>
      <c r="R250" s="8"/>
    </row>
    <row r="251" spans="3:18" x14ac:dyDescent="0.2">
      <c r="C251" s="8"/>
      <c r="D251" s="8"/>
      <c r="E251" s="8"/>
      <c r="F251" s="8"/>
      <c r="G251" s="8"/>
      <c r="H251" s="8"/>
      <c r="I251" s="8"/>
      <c r="J251" s="8"/>
      <c r="K251" s="8"/>
      <c r="L251" s="8"/>
      <c r="M251" s="8"/>
      <c r="N251" s="8"/>
      <c r="O251" s="8"/>
      <c r="P251" s="8"/>
      <c r="Q251" s="8"/>
      <c r="R251" s="8"/>
    </row>
    <row r="252" spans="3:18" x14ac:dyDescent="0.2">
      <c r="C252" s="8"/>
      <c r="D252" s="8"/>
      <c r="E252" s="8"/>
      <c r="F252" s="8"/>
      <c r="G252" s="8"/>
      <c r="H252" s="8"/>
      <c r="I252" s="8"/>
      <c r="J252" s="8"/>
      <c r="K252" s="8"/>
      <c r="L252" s="8"/>
      <c r="M252" s="8"/>
      <c r="N252" s="8"/>
      <c r="O252" s="8"/>
      <c r="P252" s="8"/>
      <c r="Q252" s="8"/>
      <c r="R252" s="8"/>
    </row>
    <row r="253" spans="3:18" x14ac:dyDescent="0.2">
      <c r="C253" s="8"/>
      <c r="D253" s="8"/>
      <c r="E253" s="8"/>
      <c r="F253" s="8"/>
      <c r="G253" s="8"/>
      <c r="H253" s="8"/>
      <c r="I253" s="8"/>
      <c r="J253" s="8"/>
      <c r="K253" s="8"/>
      <c r="L253" s="8"/>
      <c r="M253" s="8"/>
      <c r="N253" s="8"/>
      <c r="O253" s="8"/>
      <c r="P253" s="8"/>
      <c r="Q253" s="8"/>
      <c r="R253" s="8"/>
    </row>
    <row r="254" spans="3:18" x14ac:dyDescent="0.2">
      <c r="C254" s="8"/>
      <c r="D254" s="8"/>
      <c r="E254" s="8"/>
      <c r="F254" s="8"/>
      <c r="G254" s="8"/>
      <c r="H254" s="8"/>
      <c r="I254" s="8"/>
      <c r="J254" s="8"/>
      <c r="K254" s="8"/>
      <c r="L254" s="8"/>
      <c r="M254" s="8"/>
      <c r="N254" s="8"/>
      <c r="O254" s="8"/>
      <c r="P254" s="8"/>
      <c r="Q254" s="8"/>
      <c r="R254" s="8"/>
    </row>
    <row r="255" spans="3:18" x14ac:dyDescent="0.2">
      <c r="C255" s="8"/>
      <c r="D255" s="8"/>
      <c r="E255" s="8"/>
      <c r="F255" s="8"/>
      <c r="G255" s="8"/>
      <c r="H255" s="8"/>
      <c r="I255" s="8"/>
      <c r="J255" s="8"/>
      <c r="K255" s="8"/>
      <c r="L255" s="8"/>
      <c r="M255" s="8"/>
      <c r="N255" s="8"/>
      <c r="O255" s="8"/>
      <c r="P255" s="8"/>
      <c r="Q255" s="8"/>
      <c r="R255" s="8"/>
    </row>
    <row r="256" spans="3:18" x14ac:dyDescent="0.2">
      <c r="C256" s="8"/>
      <c r="D256" s="8"/>
      <c r="E256" s="8"/>
      <c r="F256" s="8"/>
      <c r="G256" s="8"/>
      <c r="H256" s="8"/>
      <c r="I256" s="8"/>
      <c r="J256" s="8"/>
      <c r="K256" s="8"/>
      <c r="L256" s="8"/>
      <c r="M256" s="8"/>
      <c r="N256" s="8"/>
      <c r="O256" s="8"/>
      <c r="P256" s="8"/>
      <c r="Q256" s="8"/>
      <c r="R256" s="8"/>
    </row>
    <row r="257" spans="3:18" x14ac:dyDescent="0.2">
      <c r="C257" s="8"/>
      <c r="D257" s="8"/>
      <c r="E257" s="8"/>
      <c r="F257" s="8"/>
      <c r="G257" s="8"/>
      <c r="H257" s="8"/>
      <c r="I257" s="8"/>
      <c r="J257" s="8"/>
      <c r="K257" s="8"/>
      <c r="L257" s="8"/>
      <c r="M257" s="8"/>
      <c r="N257" s="8"/>
      <c r="O257" s="8"/>
      <c r="P257" s="8"/>
      <c r="Q257" s="8"/>
      <c r="R257" s="8"/>
    </row>
    <row r="258" spans="3:18" x14ac:dyDescent="0.2">
      <c r="C258" s="8"/>
      <c r="D258" s="8"/>
      <c r="E258" s="8"/>
      <c r="F258" s="8"/>
      <c r="G258" s="8"/>
      <c r="H258" s="8"/>
      <c r="I258" s="8"/>
      <c r="J258" s="8"/>
      <c r="K258" s="8"/>
      <c r="L258" s="8"/>
      <c r="M258" s="8"/>
      <c r="N258" s="8"/>
      <c r="O258" s="8"/>
      <c r="P258" s="8"/>
      <c r="Q258" s="8"/>
      <c r="R258" s="8"/>
    </row>
    <row r="259" spans="3:18" x14ac:dyDescent="0.2">
      <c r="C259" s="8"/>
      <c r="D259" s="8"/>
      <c r="E259" s="8"/>
      <c r="F259" s="8"/>
      <c r="G259" s="8"/>
      <c r="H259" s="8"/>
      <c r="I259" s="8"/>
      <c r="J259" s="8"/>
      <c r="K259" s="8"/>
      <c r="L259" s="8"/>
      <c r="M259" s="8"/>
      <c r="N259" s="8"/>
      <c r="O259" s="8"/>
      <c r="P259" s="8"/>
      <c r="Q259" s="8"/>
      <c r="R259" s="8"/>
    </row>
    <row r="260" spans="3:18" x14ac:dyDescent="0.2">
      <c r="C260" s="8"/>
      <c r="D260" s="8"/>
      <c r="E260" s="8"/>
      <c r="F260" s="8"/>
      <c r="G260" s="8"/>
      <c r="H260" s="8"/>
      <c r="I260" s="8"/>
      <c r="J260" s="8"/>
      <c r="K260" s="8"/>
      <c r="L260" s="8"/>
      <c r="M260" s="8"/>
      <c r="N260" s="8"/>
      <c r="O260" s="8"/>
      <c r="P260" s="8"/>
      <c r="Q260" s="8"/>
      <c r="R260" s="8"/>
    </row>
    <row r="261" spans="3:18" x14ac:dyDescent="0.2">
      <c r="C261" s="8"/>
      <c r="D261" s="8"/>
      <c r="E261" s="8"/>
      <c r="F261" s="8"/>
      <c r="G261" s="8"/>
      <c r="H261" s="8"/>
      <c r="I261" s="8"/>
      <c r="J261" s="8"/>
      <c r="K261" s="8"/>
      <c r="L261" s="8"/>
      <c r="M261" s="8"/>
      <c r="N261" s="8"/>
      <c r="O261" s="8"/>
      <c r="P261" s="8"/>
      <c r="Q261" s="8"/>
      <c r="R261" s="8"/>
    </row>
    <row r="262" spans="3:18" x14ac:dyDescent="0.2">
      <c r="C262" s="8"/>
      <c r="D262" s="8"/>
      <c r="E262" s="8"/>
      <c r="F262" s="8"/>
      <c r="G262" s="8"/>
      <c r="H262" s="8"/>
      <c r="I262" s="8"/>
      <c r="J262" s="8"/>
      <c r="K262" s="8"/>
      <c r="L262" s="8"/>
      <c r="M262" s="8"/>
      <c r="N262" s="8"/>
      <c r="O262" s="8"/>
      <c r="P262" s="8"/>
      <c r="Q262" s="8"/>
      <c r="R262" s="8"/>
    </row>
    <row r="263" spans="3:18" x14ac:dyDescent="0.2">
      <c r="C263" s="8"/>
      <c r="D263" s="8"/>
      <c r="E263" s="8"/>
      <c r="F263" s="8"/>
      <c r="G263" s="8"/>
      <c r="H263" s="8"/>
      <c r="I263" s="8"/>
      <c r="J263" s="8"/>
      <c r="K263" s="8"/>
      <c r="L263" s="8"/>
      <c r="M263" s="8"/>
      <c r="N263" s="8"/>
      <c r="O263" s="8"/>
      <c r="P263" s="8"/>
      <c r="Q263" s="8"/>
      <c r="R263" s="8"/>
    </row>
    <row r="264" spans="3:18" x14ac:dyDescent="0.2">
      <c r="C264" s="8"/>
      <c r="D264" s="8"/>
      <c r="E264" s="8"/>
      <c r="F264" s="8"/>
      <c r="G264" s="8"/>
      <c r="H264" s="8"/>
      <c r="I264" s="8"/>
      <c r="J264" s="8"/>
      <c r="K264" s="8"/>
      <c r="L264" s="8"/>
      <c r="M264" s="8"/>
      <c r="N264" s="8"/>
      <c r="O264" s="8"/>
      <c r="P264" s="8"/>
      <c r="Q264" s="8"/>
      <c r="R264" s="8"/>
    </row>
    <row r="265" spans="3:18" x14ac:dyDescent="0.2">
      <c r="C265" s="8"/>
      <c r="D265" s="8"/>
      <c r="E265" s="8"/>
      <c r="F265" s="8"/>
      <c r="G265" s="8"/>
      <c r="H265" s="8"/>
      <c r="I265" s="8"/>
      <c r="J265" s="8"/>
      <c r="K265" s="8"/>
      <c r="L265" s="8"/>
      <c r="M265" s="8"/>
      <c r="N265" s="8"/>
      <c r="O265" s="8"/>
      <c r="P265" s="8"/>
      <c r="Q265" s="8"/>
      <c r="R265" s="8"/>
    </row>
    <row r="266" spans="3:18" x14ac:dyDescent="0.2">
      <c r="C266" s="8"/>
      <c r="D266" s="8"/>
      <c r="E266" s="8"/>
      <c r="F266" s="8"/>
      <c r="G266" s="8"/>
      <c r="H266" s="8"/>
      <c r="I266" s="8"/>
      <c r="J266" s="8"/>
      <c r="K266" s="8"/>
      <c r="L266" s="8"/>
      <c r="M266" s="8"/>
      <c r="N266" s="8"/>
      <c r="O266" s="8"/>
      <c r="P266" s="8"/>
      <c r="Q266" s="8"/>
      <c r="R266" s="8"/>
    </row>
    <row r="267" spans="3:18" x14ac:dyDescent="0.2">
      <c r="C267" s="8"/>
      <c r="D267" s="8"/>
      <c r="E267" s="8"/>
      <c r="F267" s="8"/>
      <c r="G267" s="8"/>
      <c r="H267" s="8"/>
      <c r="I267" s="8"/>
      <c r="J267" s="8"/>
      <c r="K267" s="8"/>
      <c r="L267" s="8"/>
      <c r="M267" s="8"/>
      <c r="N267" s="8"/>
      <c r="O267" s="8"/>
      <c r="P267" s="8"/>
      <c r="Q267" s="8"/>
      <c r="R267" s="8"/>
    </row>
    <row r="268" spans="3:18" x14ac:dyDescent="0.2">
      <c r="C268" s="8"/>
      <c r="D268" s="8"/>
      <c r="E268" s="8"/>
      <c r="F268" s="8"/>
      <c r="G268" s="8"/>
      <c r="H268" s="8"/>
      <c r="I268" s="8"/>
      <c r="J268" s="8"/>
      <c r="K268" s="8"/>
      <c r="L268" s="8"/>
      <c r="M268" s="8"/>
      <c r="N268" s="8"/>
      <c r="O268" s="8"/>
      <c r="P268" s="8"/>
      <c r="Q268" s="8"/>
      <c r="R268" s="8"/>
    </row>
    <row r="269" spans="3:18" x14ac:dyDescent="0.2">
      <c r="C269" s="8"/>
      <c r="D269" s="8"/>
      <c r="E269" s="8"/>
      <c r="F269" s="8"/>
      <c r="G269" s="8"/>
      <c r="H269" s="8"/>
      <c r="I269" s="8"/>
      <c r="J269" s="8"/>
      <c r="K269" s="8"/>
      <c r="L269" s="8"/>
      <c r="M269" s="8"/>
      <c r="N269" s="8"/>
      <c r="O269" s="8"/>
      <c r="P269" s="8"/>
      <c r="Q269" s="8"/>
      <c r="R269" s="8"/>
    </row>
    <row r="270" spans="3:18" x14ac:dyDescent="0.2">
      <c r="C270" s="8"/>
      <c r="D270" s="8"/>
      <c r="E270" s="8"/>
      <c r="F270" s="8"/>
      <c r="G270" s="8"/>
      <c r="H270" s="8"/>
      <c r="I270" s="8"/>
      <c r="J270" s="8"/>
      <c r="K270" s="8"/>
      <c r="L270" s="8"/>
      <c r="M270" s="8"/>
      <c r="N270" s="8"/>
      <c r="O270" s="8"/>
      <c r="P270" s="8"/>
      <c r="Q270" s="8"/>
      <c r="R270" s="8"/>
    </row>
    <row r="271" spans="3:18" x14ac:dyDescent="0.2">
      <c r="C271" s="8"/>
      <c r="D271" s="8"/>
      <c r="E271" s="8"/>
      <c r="F271" s="8"/>
      <c r="G271" s="8"/>
      <c r="H271" s="8"/>
      <c r="I271" s="8"/>
      <c r="J271" s="8"/>
      <c r="K271" s="8"/>
      <c r="L271" s="8"/>
      <c r="M271" s="8"/>
      <c r="N271" s="8"/>
      <c r="O271" s="8"/>
      <c r="P271" s="8"/>
      <c r="Q271" s="8"/>
      <c r="R271" s="8"/>
    </row>
    <row r="272" spans="3:18" x14ac:dyDescent="0.2">
      <c r="C272" s="8"/>
      <c r="D272" s="8"/>
      <c r="E272" s="8"/>
      <c r="F272" s="8"/>
      <c r="G272" s="8"/>
      <c r="H272" s="8"/>
      <c r="I272" s="8"/>
      <c r="J272" s="8"/>
      <c r="K272" s="8"/>
      <c r="L272" s="8"/>
      <c r="M272" s="8"/>
      <c r="N272" s="8"/>
      <c r="O272" s="8"/>
      <c r="P272" s="8"/>
      <c r="Q272" s="8"/>
      <c r="R272" s="8"/>
    </row>
    <row r="273" spans="3:18" x14ac:dyDescent="0.2">
      <c r="C273" s="8"/>
      <c r="D273" s="8"/>
      <c r="E273" s="8"/>
      <c r="F273" s="8"/>
      <c r="G273" s="8"/>
      <c r="H273" s="8"/>
      <c r="I273" s="8"/>
      <c r="J273" s="8"/>
      <c r="K273" s="8"/>
      <c r="L273" s="8"/>
      <c r="M273" s="8"/>
      <c r="N273" s="8"/>
      <c r="O273" s="8"/>
      <c r="P273" s="8"/>
      <c r="Q273" s="8"/>
      <c r="R273" s="8"/>
    </row>
    <row r="274" spans="3:18" x14ac:dyDescent="0.2">
      <c r="C274" s="8"/>
      <c r="D274" s="8"/>
      <c r="E274" s="8"/>
      <c r="F274" s="8"/>
      <c r="G274" s="8"/>
      <c r="H274" s="8"/>
      <c r="I274" s="8"/>
      <c r="J274" s="8"/>
      <c r="K274" s="8"/>
      <c r="L274" s="8"/>
      <c r="M274" s="8"/>
      <c r="N274" s="8"/>
      <c r="O274" s="8"/>
      <c r="P274" s="8"/>
      <c r="Q274" s="8"/>
      <c r="R274" s="8"/>
    </row>
    <row r="275" spans="3:18" x14ac:dyDescent="0.2">
      <c r="C275" s="8"/>
      <c r="D275" s="8"/>
      <c r="E275" s="8"/>
      <c r="F275" s="8"/>
      <c r="G275" s="8"/>
      <c r="H275" s="8"/>
      <c r="I275" s="8"/>
      <c r="J275" s="8"/>
      <c r="K275" s="8"/>
      <c r="L275" s="8"/>
      <c r="M275" s="8"/>
      <c r="N275" s="8"/>
      <c r="O275" s="8"/>
      <c r="P275" s="8"/>
      <c r="Q275" s="8"/>
      <c r="R275" s="8"/>
    </row>
    <row r="276" spans="3:18" x14ac:dyDescent="0.2">
      <c r="C276" s="8"/>
      <c r="D276" s="8"/>
      <c r="E276" s="8"/>
      <c r="F276" s="8"/>
      <c r="G276" s="8"/>
      <c r="H276" s="8"/>
      <c r="I276" s="8"/>
      <c r="J276" s="8"/>
      <c r="K276" s="8"/>
      <c r="L276" s="8"/>
      <c r="M276" s="8"/>
      <c r="N276" s="8"/>
      <c r="O276" s="8"/>
      <c r="P276" s="8"/>
      <c r="Q276" s="8"/>
      <c r="R276" s="8"/>
    </row>
    <row r="277" spans="3:18" x14ac:dyDescent="0.2">
      <c r="C277" s="8"/>
      <c r="D277" s="8"/>
      <c r="E277" s="8"/>
      <c r="F277" s="8"/>
      <c r="G277" s="8"/>
      <c r="H277" s="8"/>
      <c r="I277" s="8"/>
      <c r="J277" s="8"/>
      <c r="K277" s="8"/>
      <c r="L277" s="8"/>
      <c r="M277" s="8"/>
      <c r="N277" s="8"/>
      <c r="O277" s="8"/>
      <c r="P277" s="8"/>
      <c r="Q277" s="8"/>
      <c r="R277" s="8"/>
    </row>
    <row r="278" spans="3:18" x14ac:dyDescent="0.2">
      <c r="C278" s="8"/>
      <c r="D278" s="8"/>
      <c r="E278" s="8"/>
      <c r="F278" s="8"/>
      <c r="G278" s="8"/>
      <c r="H278" s="8"/>
      <c r="I278" s="8"/>
      <c r="J278" s="8"/>
      <c r="K278" s="8"/>
      <c r="L278" s="8"/>
      <c r="M278" s="8"/>
      <c r="N278" s="8"/>
      <c r="O278" s="8"/>
      <c r="P278" s="8"/>
      <c r="Q278" s="8"/>
      <c r="R278" s="8"/>
    </row>
  </sheetData>
  <sheetProtection algorithmName="SHA-512" hashValue="A4wCu7KgaX63xNnpcRguj53DpdkSkAgg7ekL/QTMerZ6ZDLsqUjN8ivTrUEaEpnF7li4TRih5vhx4PK1Zpz7dA==" saltValue="otzlL8FEaOZuI5qJhh2dFg==" spinCount="100000" sheet="1" objects="1" scenarios="1" formatColumns="0" formatRows="0" sort="0" autoFilter="0"/>
  <autoFilter ref="A12:AG16">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autoFilter>
  <customSheetViews>
    <customSheetView guid="{E26F941C-F347-432D-B4B3-73B25F002075}" scale="55" showPageBreaks="1" showGridLines="0" fitToPage="1" printArea="1" hiddenRows="1" topLeftCell="A13">
      <selection activeCell="B51" sqref="B51:H51"/>
      <pageMargins left="0.41" right="0.43" top="0.43" bottom="0.46" header="0.4" footer="0.28000000000000003"/>
      <printOptions horizontalCentered="1"/>
      <pageSetup paperSize="9" scale="31" orientation="landscape" cellComments="asDisplayed" r:id="rId1"/>
      <headerFooter alignWithMargins="0">
        <oddFooter>&amp;L&amp;9SD 3.1A - Form, Ongoing DR/PU and LFA Review and Recommendation_v2.1 February 2006&amp;R&amp;9Page &amp;P of &amp;N</oddFooter>
      </headerFooter>
    </customSheetView>
  </customSheetViews>
  <mergeCells count="25">
    <mergeCell ref="C1:L1"/>
    <mergeCell ref="C6:R6"/>
    <mergeCell ref="L7:L8"/>
    <mergeCell ref="F7:G7"/>
    <mergeCell ref="C2:L2"/>
    <mergeCell ref="C7:C8"/>
    <mergeCell ref="E7:E8"/>
    <mergeCell ref="R7:R8"/>
    <mergeCell ref="K7:K8"/>
    <mergeCell ref="C3:D3"/>
    <mergeCell ref="D7:D8"/>
    <mergeCell ref="P7:P8"/>
    <mergeCell ref="H7:J7"/>
    <mergeCell ref="M7:O7"/>
    <mergeCell ref="A12:Y12"/>
    <mergeCell ref="Z6:AE6"/>
    <mergeCell ref="Z7:Z8"/>
    <mergeCell ref="AA7:AE8"/>
    <mergeCell ref="S6:Y6"/>
    <mergeCell ref="S7:S8"/>
    <mergeCell ref="X7:X8"/>
    <mergeCell ref="Y7:Y8"/>
    <mergeCell ref="W7:W8"/>
    <mergeCell ref="Q7:Q8"/>
    <mergeCell ref="T7:V7"/>
  </mergeCells>
  <phoneticPr fontId="0" type="noConversion"/>
  <conditionalFormatting sqref="S9:S11">
    <cfRule type="cellIs" dxfId="139" priority="2" operator="notEqual">
      <formula>#REF!</formula>
    </cfRule>
  </conditionalFormatting>
  <conditionalFormatting sqref="S13:S16">
    <cfRule type="cellIs" dxfId="138" priority="1" operator="notEqual">
      <formula>#REF!</formula>
    </cfRule>
  </conditionalFormatting>
  <dataValidations count="28">
    <dataValidation type="list" allowBlank="1" showInputMessage="1" showErrorMessage="1" sqref="A12">
      <formula1>"Select, Impact, Outcome"</formula1>
    </dataValidation>
    <dataValidation type="list" allowBlank="1" showInputMessage="1" showErrorMessage="1" errorTitle="X-Author for Excel" error="Please select a value from the drop-down." promptTitle="X-Author for Excel" sqref="G9:G11">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Target N# is -9999999999.99 to 9999999999.99." promptTitle="X-Author for Excel" sqref="H9:H11 H13:H16">
      <formula1>-9999999999.99</formula1>
      <formula2>9999999999.99</formula2>
    </dataValidation>
    <dataValidation type="decimal" allowBlank="1" showInputMessage="1" showErrorMessage="1" errorTitle="X-Author for Excel" error="Please enter a valid numeric value. Valid range for Target D# is -9999999999.99 to 9999999999.99." promptTitle="X-Author for Excel" sqref="I9:I11 I13:I16">
      <formula1>-9999999999.99</formula1>
      <formula2>9999999999.99</formula2>
    </dataValidation>
    <dataValidation type="decimal" allowBlank="1" showInputMessage="1" showErrorMessage="1" errorTitle="X-Author for Excel" error="Please enter a valid numeric value. Valid range for Target % is -999.9 to 999.9." promptTitle="X-Author for Excel" sqref="J9:J11 J13:J16">
      <formula1>-999.9</formula1>
      <formula2>999.9</formula2>
    </dataValidation>
    <dataValidation type="list" allowBlank="1" showInputMessage="1" showErrorMessage="1" errorTitle="X-Author for Excel" error="Please select a value from the drop-down." promptTitle="X-Author for Excel" sqref="K9:K11">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L9:L11 L13:L16">
      <formula1>36526</formula1>
      <formula2>36891</formula2>
    </dataValidation>
    <dataValidation type="decimal" allowBlank="1" showInputMessage="1" showErrorMessage="1" errorTitle="X-Author for Excel" error="Please enter a valid numeric value. Valid range for Result N#  (PR) is -9999999999.99 to 9999999999.99." promptTitle="X-Author for Excel" sqref="M9:M11">
      <formula1>-9999999999.99</formula1>
      <formula2>9999999999.99</formula2>
    </dataValidation>
    <dataValidation type="decimal" allowBlank="1" showInputMessage="1" showErrorMessage="1" errorTitle="X-Author for Excel" error="Please enter a valid numeric value. Valid range for Result D# (PR) is -9999999999.99 to 9999999999.99." promptTitle="X-Author for Excel" sqref="N9:N11">
      <formula1>-9999999999.99</formula1>
      <formula2>9999999999.99</formula2>
    </dataValidation>
    <dataValidation type="decimal" allowBlank="1" showInputMessage="1" showErrorMessage="1" errorTitle="X-Author for Excel" error="Please enter a valid numeric value. Valid range for Result % (PR) is -999.99 to 999.99." promptTitle="X-Author for Excel" sqref="O9:O11 O13:O16">
      <formula1>-999.99</formula1>
      <formula2>999.99</formula2>
    </dataValidation>
    <dataValidation type="list" allowBlank="1" showInputMessage="1" showErrorMessage="1" errorTitle="X-Author for Excel" error="Please select a value from the drop-down." promptTitle="X-Author for Excel" sqref="P9:P11">
      <formula1>IF(IFERROR(ROWS(INDIRECT(SUBSTITUTE("AIM_Impact_Indicator_Targets_Results__c.AIM_Year_of_Result_PR__c"," ","_"))),-1) &lt; 0, XAuthorInvalidPicklistData,INDIRECT(SUBSTITUTE("AIM_Impact_Indicator_Targets_Results__c.AIM_Year_of_Result_PR__c"," ","_")))</formula1>
    </dataValidation>
    <dataValidation type="list" allowBlank="1" showInputMessage="1" showErrorMessage="1" errorTitle="X-Author for Excel" error="Please select a value from the drop-down." promptTitle="X-Author for Excel" sqref="Q9:Q11">
      <formula1>IF(IFERROR(ROWS(INDIRECT(SUBSTITUTE("AIM_Impact_Indicator_Targets_Results__c.AIM_Data_Source_Result_PR__c"," ","_"))),-1) &lt; 0, XAuthorInvalidPicklistData,INDIRECT(SUBSTITUTE("AIM_Impact_Indicator_Targets_Results__c.AIM_Data_Source_Result_PR__c"," ","_")))</formula1>
    </dataValidation>
    <dataValidation type="list" allowBlank="1" showInputMessage="1" showErrorMessage="1" errorTitle="X-Author for Excel" error="Please select a value from the drop-down." promptTitle="X-Author for Excel" sqref="S9:S11">
      <formula1>IF(IFERROR(ROWS(INDIRECT(SUBSTITUTE("AIM_Impact_Indicator_Targets_Results__c.AIM_Verification_Method_LFA__c"," ","_"))),-1) &lt; 0, XAuthorInvalidPicklistData,INDIRECT(SUBSTITUTE("AIM_Impact_Indicator_Targets_Results__c.AIM_Verification_Method_LFA__c"," ","_")))</formula1>
    </dataValidation>
    <dataValidation type="decimal" allowBlank="1" showInputMessage="1" showErrorMessage="1" errorTitle="X-Author for Excel" error="Please enter a valid numeric value. Valid range for Verified Result N#  (LFA) is -9999999999.99 to 9999999999.99." promptTitle="X-Author for Excel" sqref="T9:T11 T13:T16">
      <formula1>-9999999999.99</formula1>
      <formula2>9999999999.99</formula2>
    </dataValidation>
    <dataValidation type="decimal" allowBlank="1" showInputMessage="1" showErrorMessage="1" errorTitle="X-Author for Excel" error="Please enter a valid numeric value. Valid range for Verified Result D# (LFA) is -9999999999.99 to 9999999999.99." promptTitle="X-Author for Excel" sqref="U9:U11 U13:U16">
      <formula1>-9999999999.99</formula1>
      <formula2>9999999999.99</formula2>
    </dataValidation>
    <dataValidation type="decimal" allowBlank="1" showInputMessage="1" showErrorMessage="1" errorTitle="X-Author for Excel" error="Please enter a valid numeric value. Valid range for Verified Result % (LFA) is -999.99 to 999.99." promptTitle="X-Author for Excel" sqref="V9:V11 V13:V16">
      <formula1>-999.99</formula1>
      <formula2>999.99</formula2>
    </dataValidation>
    <dataValidation type="list" allowBlank="1" showInputMessage="1" showErrorMessage="1" errorTitle="X-Author for Excel" error="Please select a value from the drop-down." promptTitle="X-Author for Excel" sqref="W9:W11">
      <formula1>IF(IFERROR(ROWS(INDIRECT(SUBSTITUTE("AIM_Impact_Indicator_Targets_Results__c.AIM_Year_of_Result_LFA__c"," ","_"))),-1) &lt; 0, XAuthorInvalidPicklistData,INDIRECT(SUBSTITUTE("AIM_Impact_Indicator_Targets_Results__c.AIM_Year_of_Result_LFA__c"," ","_")))</formula1>
    </dataValidation>
    <dataValidation type="list" allowBlank="1" showInputMessage="1" showErrorMessage="1" errorTitle="X-Author for Excel" error="Please select a value from the drop-down." promptTitle="X-Author for Excel" sqref="X9:X11">
      <formula1>IF(IFERROR(ROWS(INDIRECT(SUBSTITUTE("AIM_Impact_Indicator_Targets_Results__c.AIM_Data_Source_Result_LFA__c"," ","_"))),-1) &lt; 0, XAuthorInvalidPicklistData,INDIRECT(SUBSTITUTE("AIM_Impact_Indicator_Targets_Results__c.AIM_Data_Source_Result_LFA__c"," ","_")))</formula1>
    </dataValidation>
    <dataValidation type="custom" allowBlank="1" showInputMessage="1" showErrorMessage="1" errorTitle="X-Author for Excel" error="Id and Lookup fields are not editable." promptTitle="X-Author for Excel" sqref="AG9:AG11 AG13:AG16">
      <formula1>""</formula1>
    </dataValidation>
    <dataValidation type="list" allowBlank="1" showInputMessage="1" showErrorMessage="1" errorTitle="X-Author for Excel" error="Please select a value from the drop-down." promptTitle="X-Author for Excel" sqref="G13:G16">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K13:K16">
      <formula1>IF(IFERROR(ROWS(INDIRECT(SUBSTITUTE("AIM_Outcome_Indicator_Targets_Result__c.AIM_Year_of_Target__c"," ","_"))),-1) &lt; 0, XAuthorInvalidPicklistData,INDIRECT(SUBSTITUTE("AIM_Outcome_Indicator_Targets_Result__c.AIM_Year_of_Target__c"," ","_")))</formula1>
    </dataValidation>
    <dataValidation type="decimal" allowBlank="1" showInputMessage="1" showErrorMessage="1" errorTitle="X-Author for Excel" error="Please enter a valid numeric value. Valid range for Result N#  (PR) is -9999999999 to 9999999999." promptTitle="X-Author for Excel" sqref="M13:M16">
      <formula1>-9999999999</formula1>
      <formula2>9999999999</formula2>
    </dataValidation>
    <dataValidation type="decimal" allowBlank="1" showInputMessage="1" showErrorMessage="1" errorTitle="X-Author for Excel" error="Please enter a valid numeric value. Valid range for Result D# (PR) is -9999999999 to 9999999999." promptTitle="X-Author for Excel" sqref="N13:N16">
      <formula1>-9999999999</formula1>
      <formula2>9999999999</formula2>
    </dataValidation>
    <dataValidation type="list" allowBlank="1" showInputMessage="1" showErrorMessage="1" errorTitle="X-Author for Excel" error="Please select a value from the drop-down." promptTitle="X-Author for Excel" sqref="P13:P16">
      <formula1>IF(IFERROR(ROWS(INDIRECT(SUBSTITUTE("AIM_Outcome_Indicator_Targets_Result__c.AIM_Year_of_Result_PR__c"," ","_"))),-1) &lt; 0, XAuthorInvalidPicklistData,INDIRECT(SUBSTITUTE("AIM_Outcome_Indicator_Targets_Result__c.AIM_Year_of_Result_PR__c"," ","_")))</formula1>
    </dataValidation>
    <dataValidation type="list" allowBlank="1" showInputMessage="1" showErrorMessage="1" errorTitle="X-Author for Excel" error="Please select a value from the drop-down." promptTitle="X-Author for Excel" sqref="Q13:Q16">
      <formula1>IF(IFERROR(ROWS(INDIRECT(SUBSTITUTE("AIM_Outcome_Indicator_Targets_Result__c.AIM_Data_Source_Result_PR__c"," ","_"))),-1) &lt; 0, XAuthorInvalidPicklistData,INDIRECT(SUBSTITUTE("AIM_Outcome_Indicator_Targets_Result__c.AIM_Data_Source_Result_PR__c"," ","_")))</formula1>
    </dataValidation>
    <dataValidation type="list" allowBlank="1" showInputMessage="1" showErrorMessage="1" errorTitle="X-Author for Excel" error="Please select a value from the drop-down." promptTitle="X-Author for Excel" sqref="S13:S16">
      <formula1>IF(IFERROR(ROWS(INDIRECT(SUBSTITUTE("AIM_Outcome_Indicator_Targets_Result__c.AIM_Verification_Method_LFA__c"," ","_"))),-1) &lt; 0, XAuthorInvalidPicklistData,INDIRECT(SUBSTITUTE("AIM_Outcome_Indicator_Targets_Result__c.AIM_Verification_Method_LFA__c"," ","_")))</formula1>
    </dataValidation>
    <dataValidation type="list" allowBlank="1" showInputMessage="1" showErrorMessage="1" errorTitle="X-Author for Excel" error="Please select a value from the drop-down." promptTitle="X-Author for Excel" sqref="W13:W16">
      <formula1>IF(IFERROR(ROWS(INDIRECT(SUBSTITUTE("AIM_Outcome_Indicator_Targets_Result__c.AIM_Year_of_Result_LFA__c"," ","_"))),-1) &lt; 0, XAuthorInvalidPicklistData,INDIRECT(SUBSTITUTE("AIM_Outcome_Indicator_Targets_Result__c.AIM_Year_of_Result_LFA__c"," ","_")))</formula1>
    </dataValidation>
    <dataValidation type="list" allowBlank="1" showInputMessage="1" showErrorMessage="1" errorTitle="X-Author for Excel" error="Please select a value from the drop-down." promptTitle="X-Author for Excel" sqref="X13:X16">
      <formula1>IF(IFERROR(ROWS(INDIRECT(SUBSTITUTE("AIM_Outcome_Indicator_Targets_Result__c.AIM_Data_Source_Result_LFA__c"," ","_"))),-1) &lt; 0, XAuthorInvalidPicklistData,INDIRECT(SUBSTITUTE("AIM_Outcome_Indicator_Targets_Result__c.AIM_Data_Source_Result_LFA__c"," ","_")))</formula1>
    </dataValidation>
  </dataValidations>
  <printOptions horizontalCentered="1" verticalCentered="1"/>
  <pageMargins left="0.23622047244094491" right="0.23622047244094491" top="0.74803149606299213" bottom="0.74803149606299213" header="0.31496062992125984" footer="0.31496062992125984"/>
  <pageSetup paperSize="9" scale="18" orientation="landscape" cellComments="asDisplayed" r:id="rId2"/>
  <headerFooter alignWithMargins="0">
    <oddFooter>&amp;L&amp;A&amp;R&amp;P</oddFooter>
  </headerFooter>
  <rowBreaks count="2" manualBreakCount="2">
    <brk id="19" max="16383" man="1"/>
    <brk id="28" max="42"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FF00"/>
  </sheetPr>
  <dimension ref="A1:BB185"/>
  <sheetViews>
    <sheetView showGridLines="0" view="pageBreakPreview" topLeftCell="D1" zoomScale="90" zoomScaleNormal="55" zoomScaleSheetLayoutView="90" workbookViewId="0">
      <selection activeCell="K14" sqref="K14"/>
    </sheetView>
  </sheetViews>
  <sheetFormatPr defaultColWidth="9.140625" defaultRowHeight="12.75" x14ac:dyDescent="0.2"/>
  <cols>
    <col min="1" max="1" width="24.140625" style="145" customWidth="1"/>
    <col min="2" max="2" width="57.5703125" style="19" customWidth="1"/>
    <col min="3" max="3" width="23.85546875" style="19" customWidth="1"/>
    <col min="4" max="4" width="26.85546875" style="19" customWidth="1"/>
    <col min="5" max="5" width="18.85546875" style="19" bestFit="1" customWidth="1"/>
    <col min="6" max="6" width="15.85546875" style="19" customWidth="1"/>
    <col min="7" max="7" width="20.140625" style="19" bestFit="1" customWidth="1"/>
    <col min="8" max="8" width="20.140625" style="19" customWidth="1"/>
    <col min="9" max="9" width="22.140625" style="19" bestFit="1" customWidth="1"/>
    <col min="10" max="10" width="23.85546875" style="19" bestFit="1" customWidth="1"/>
    <col min="11" max="11" width="82.42578125" style="19" customWidth="1"/>
    <col min="12" max="12" width="34.42578125" style="19" bestFit="1" customWidth="1"/>
    <col min="13" max="13" width="42.140625" style="19" customWidth="1"/>
    <col min="14" max="14" width="65.42578125" style="19" customWidth="1"/>
    <col min="15" max="15" width="30.85546875" style="19" hidden="1" customWidth="1"/>
    <col min="16" max="16" width="74.140625" style="19" hidden="1" customWidth="1"/>
    <col min="17" max="17" width="9.140625" style="430" hidden="1" customWidth="1"/>
    <col min="18" max="18" width="0.140625" style="46" customWidth="1"/>
    <col min="19" max="19" width="20" style="46" customWidth="1"/>
    <col min="20" max="20" width="9.140625" style="430" customWidth="1"/>
    <col min="21" max="25" width="9.140625" style="46"/>
    <col min="26" max="16384" width="9.140625" style="19"/>
  </cols>
  <sheetData>
    <row r="1" spans="1:54" ht="53.25" customHeight="1" x14ac:dyDescent="0.2">
      <c r="A1" s="818" t="str">
        <f>IF(CoverSheet!J12="N/A","Progress Report","Progress Report with Disbursement Request")</f>
        <v>Progress Report with Disbursement Request</v>
      </c>
      <c r="B1" s="393"/>
      <c r="C1" s="394"/>
      <c r="D1" s="393"/>
      <c r="E1" s="393"/>
      <c r="F1" s="395"/>
      <c r="G1" s="46"/>
      <c r="H1" s="46"/>
    </row>
    <row r="2" spans="1:54" s="8" customFormat="1" ht="33.75" customHeight="1" x14ac:dyDescent="0.2">
      <c r="A2" s="119" t="s">
        <v>170</v>
      </c>
      <c r="B2" s="387"/>
      <c r="C2" s="387"/>
      <c r="D2" s="387"/>
      <c r="E2" s="387"/>
      <c r="F2" s="387"/>
      <c r="G2" s="387"/>
      <c r="H2" s="387"/>
      <c r="I2" s="387"/>
      <c r="J2" s="387"/>
      <c r="K2" s="387"/>
      <c r="L2" s="387"/>
      <c r="M2" s="387"/>
      <c r="N2" s="387"/>
      <c r="O2" s="387"/>
      <c r="P2" s="387"/>
      <c r="Q2" s="388"/>
      <c r="R2" s="14"/>
      <c r="S2" s="14"/>
      <c r="T2" s="388"/>
      <c r="U2" s="14"/>
      <c r="V2" s="14"/>
      <c r="W2" s="14"/>
      <c r="X2" s="14"/>
      <c r="Y2" s="14"/>
    </row>
    <row r="3" spans="1:54" ht="13.5" thickBot="1" x14ac:dyDescent="0.25">
      <c r="A3" s="396"/>
      <c r="B3" s="46"/>
      <c r="C3" s="46"/>
      <c r="D3" s="46"/>
      <c r="E3" s="46"/>
      <c r="F3" s="46"/>
      <c r="G3" s="46"/>
      <c r="H3" s="46"/>
    </row>
    <row r="4" spans="1:54" s="397" customFormat="1" ht="28.5" customHeight="1" thickBot="1" x14ac:dyDescent="0.25">
      <c r="A4" s="1409" t="s">
        <v>171</v>
      </c>
      <c r="B4" s="1410"/>
      <c r="C4" s="1410"/>
      <c r="D4" s="1410"/>
      <c r="E4" s="1410"/>
      <c r="F4" s="1410"/>
      <c r="G4" s="1410"/>
      <c r="H4" s="1410"/>
      <c r="I4" s="1410"/>
      <c r="J4" s="1410"/>
      <c r="K4" s="1411"/>
      <c r="L4" s="1402"/>
      <c r="M4" s="1403"/>
      <c r="N4" s="1404"/>
      <c r="O4" s="1402" t="s">
        <v>101</v>
      </c>
      <c r="P4" s="1403"/>
      <c r="Q4" s="507"/>
      <c r="R4" s="423"/>
      <c r="S4" s="46"/>
      <c r="T4" s="430"/>
      <c r="U4" s="46"/>
      <c r="V4" s="46"/>
      <c r="W4" s="46"/>
      <c r="X4" s="46"/>
      <c r="Y4" s="46"/>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row>
    <row r="5" spans="1:54" ht="30" customHeight="1" x14ac:dyDescent="0.2">
      <c r="A5" s="1412" t="s">
        <v>90</v>
      </c>
      <c r="B5" s="1414" t="s">
        <v>533</v>
      </c>
      <c r="C5" s="1414" t="s">
        <v>93</v>
      </c>
      <c r="D5" s="1414" t="s">
        <v>21</v>
      </c>
      <c r="E5" s="1415" t="s">
        <v>99</v>
      </c>
      <c r="F5" s="1407"/>
      <c r="G5" s="1408"/>
      <c r="H5" s="1414" t="s">
        <v>406</v>
      </c>
      <c r="I5" s="1407" t="s">
        <v>232</v>
      </c>
      <c r="J5" s="1408"/>
      <c r="K5" s="1416" t="s">
        <v>27</v>
      </c>
      <c r="L5" s="1405" t="s">
        <v>13</v>
      </c>
      <c r="M5" s="1406"/>
      <c r="N5" s="1399" t="s">
        <v>29</v>
      </c>
      <c r="O5" s="1401" t="s">
        <v>207</v>
      </c>
      <c r="P5" s="1401" t="s">
        <v>211</v>
      </c>
      <c r="R5" s="505"/>
    </row>
    <row r="6" spans="1:54" ht="57" customHeight="1" x14ac:dyDescent="0.2">
      <c r="A6" s="1413"/>
      <c r="B6" s="1382"/>
      <c r="C6" s="1382"/>
      <c r="D6" s="1382"/>
      <c r="E6" s="491" t="s">
        <v>357</v>
      </c>
      <c r="F6" s="491" t="s">
        <v>323</v>
      </c>
      <c r="G6" s="491" t="s">
        <v>358</v>
      </c>
      <c r="H6" s="1382"/>
      <c r="I6" s="644" t="s">
        <v>357</v>
      </c>
      <c r="J6" s="491" t="s">
        <v>358</v>
      </c>
      <c r="K6" s="1417"/>
      <c r="L6" s="455" t="s">
        <v>357</v>
      </c>
      <c r="M6" s="455" t="s">
        <v>358</v>
      </c>
      <c r="N6" s="1400"/>
      <c r="O6" s="1401"/>
      <c r="P6" s="1401"/>
      <c r="Q6" s="430" t="s">
        <v>356</v>
      </c>
      <c r="R6" s="505"/>
    </row>
    <row r="7" spans="1:54" ht="30" hidden="1" x14ac:dyDescent="0.2">
      <c r="A7" s="642" t="s">
        <v>287</v>
      </c>
      <c r="B7" s="434" t="s">
        <v>288</v>
      </c>
      <c r="C7" s="434" t="s">
        <v>305</v>
      </c>
      <c r="D7" s="434" t="s">
        <v>306</v>
      </c>
      <c r="E7" s="434" t="s">
        <v>290</v>
      </c>
      <c r="F7" s="435" t="s">
        <v>291</v>
      </c>
      <c r="G7" s="648" t="s">
        <v>307</v>
      </c>
      <c r="H7" s="434" t="s">
        <v>405</v>
      </c>
      <c r="I7" s="517" t="s">
        <v>308</v>
      </c>
      <c r="J7" s="410" t="s">
        <v>309</v>
      </c>
      <c r="K7" s="643" t="s">
        <v>310</v>
      </c>
      <c r="L7" s="516" t="s">
        <v>311</v>
      </c>
      <c r="M7" s="410" t="s">
        <v>312</v>
      </c>
      <c r="N7" s="410" t="s">
        <v>313</v>
      </c>
      <c r="O7" s="496" t="str">
        <f>L7</f>
        <v>[Verified Result Value (LFA)]</v>
      </c>
      <c r="P7" s="504"/>
      <c r="Q7" s="487" t="s">
        <v>355</v>
      </c>
      <c r="R7" s="506"/>
      <c r="S7" s="396"/>
    </row>
    <row r="8" spans="1:54" ht="51.75" hidden="1" customHeight="1" x14ac:dyDescent="0.2">
      <c r="A8" s="1398" t="s">
        <v>302</v>
      </c>
      <c r="B8" s="1398"/>
      <c r="C8" s="1398"/>
      <c r="D8" s="1398"/>
      <c r="E8" s="1398"/>
      <c r="F8" s="1398"/>
      <c r="G8" s="1398"/>
      <c r="H8" s="1398"/>
      <c r="I8" s="1398"/>
      <c r="J8" s="1398"/>
      <c r="K8" s="1398"/>
      <c r="L8" s="1398"/>
      <c r="M8" s="1398"/>
      <c r="N8" s="1398"/>
      <c r="O8" s="1211"/>
      <c r="P8" s="1211"/>
      <c r="Q8" s="1212" t="s">
        <v>356</v>
      </c>
      <c r="R8" s="505"/>
    </row>
    <row r="9" spans="1:54" ht="30" hidden="1" x14ac:dyDescent="0.2">
      <c r="A9" s="1213" t="s">
        <v>301</v>
      </c>
      <c r="B9" s="1214" t="s">
        <v>303</v>
      </c>
      <c r="C9" s="1214" t="s">
        <v>305</v>
      </c>
      <c r="D9" s="1214" t="s">
        <v>306</v>
      </c>
      <c r="E9" s="1214" t="s">
        <v>290</v>
      </c>
      <c r="F9" s="1214" t="s">
        <v>291</v>
      </c>
      <c r="G9" s="1214" t="s">
        <v>307</v>
      </c>
      <c r="H9" s="1214" t="s">
        <v>405</v>
      </c>
      <c r="I9" s="1215" t="s">
        <v>308</v>
      </c>
      <c r="J9" s="1216" t="s">
        <v>309</v>
      </c>
      <c r="K9" s="1217" t="s">
        <v>310</v>
      </c>
      <c r="L9" s="1200" t="s">
        <v>311</v>
      </c>
      <c r="M9" s="1216" t="s">
        <v>312</v>
      </c>
      <c r="N9" s="1216" t="s">
        <v>313</v>
      </c>
      <c r="O9" s="1218" t="str">
        <f>L9</f>
        <v>[Verified Result Value (LFA)]</v>
      </c>
      <c r="P9" s="529"/>
      <c r="Q9" s="1212" t="s">
        <v>355</v>
      </c>
      <c r="R9" s="505"/>
    </row>
    <row r="10" spans="1:54" ht="45" x14ac:dyDescent="0.2">
      <c r="A10" s="1213" t="s">
        <v>302</v>
      </c>
      <c r="B10" s="1214" t="s">
        <v>979</v>
      </c>
      <c r="C10" s="1214" t="s">
        <v>985</v>
      </c>
      <c r="D10" s="1214" t="s">
        <v>986</v>
      </c>
      <c r="E10" s="1214"/>
      <c r="F10" s="1214"/>
      <c r="G10" s="1214"/>
      <c r="H10" s="1214" t="s">
        <v>835</v>
      </c>
      <c r="I10" s="1215">
        <v>32</v>
      </c>
      <c r="J10" s="1216" t="s">
        <v>870</v>
      </c>
      <c r="K10" s="1217" t="s">
        <v>987</v>
      </c>
      <c r="L10" s="1200"/>
      <c r="M10" s="1216"/>
      <c r="N10" s="1216"/>
      <c r="O10" s="1218">
        <f>L10</f>
        <v>0</v>
      </c>
      <c r="P10" s="529"/>
      <c r="Q10" s="1212" t="s">
        <v>988</v>
      </c>
      <c r="R10" s="505"/>
    </row>
    <row r="11" spans="1:54" ht="2.4500000000000002" customHeight="1" thickBot="1" x14ac:dyDescent="0.25">
      <c r="A11" s="424"/>
      <c r="B11" s="425"/>
      <c r="C11" s="425"/>
      <c r="D11" s="425"/>
      <c r="E11" s="426"/>
      <c r="F11" s="425"/>
      <c r="G11" s="426"/>
      <c r="H11" s="426"/>
      <c r="I11" s="425"/>
      <c r="J11" s="426"/>
      <c r="K11" s="425"/>
      <c r="L11" s="426"/>
      <c r="M11" s="425"/>
      <c r="N11" s="427"/>
      <c r="O11" s="428"/>
      <c r="P11" s="427"/>
      <c r="Q11" s="508" t="s">
        <v>355</v>
      </c>
      <c r="R11" s="429"/>
    </row>
    <row r="12" spans="1:54" ht="74.25" customHeight="1" x14ac:dyDescent="0.2">
      <c r="A12" s="396"/>
      <c r="B12" s="396"/>
      <c r="C12" s="396"/>
      <c r="D12" s="396"/>
      <c r="E12" s="46"/>
      <c r="F12" s="396"/>
      <c r="G12" s="46"/>
      <c r="H12" s="46"/>
      <c r="I12" s="396"/>
      <c r="J12" s="46"/>
      <c r="K12" s="396"/>
      <c r="L12" s="46"/>
      <c r="M12" s="396"/>
      <c r="N12" s="398"/>
      <c r="O12" s="399"/>
      <c r="P12" s="398"/>
    </row>
    <row r="13" spans="1:54" ht="74.25" customHeight="1" x14ac:dyDescent="0.2">
      <c r="A13" s="396"/>
      <c r="B13" s="396"/>
      <c r="C13" s="396"/>
      <c r="D13" s="396"/>
      <c r="E13" s="46"/>
      <c r="F13" s="396"/>
      <c r="G13" s="46"/>
      <c r="H13" s="46"/>
      <c r="I13" s="396"/>
      <c r="J13" s="46"/>
      <c r="K13" s="396"/>
      <c r="L13" s="46"/>
      <c r="M13" s="396"/>
      <c r="N13" s="1397"/>
      <c r="O13" s="399"/>
      <c r="P13" s="398"/>
    </row>
    <row r="14" spans="1:54" ht="74.25" customHeight="1" x14ac:dyDescent="0.2">
      <c r="A14" s="396"/>
      <c r="B14" s="396"/>
      <c r="C14" s="396"/>
      <c r="D14" s="396"/>
      <c r="E14" s="46"/>
      <c r="F14" s="396"/>
      <c r="G14" s="46"/>
      <c r="H14" s="46"/>
      <c r="I14" s="396"/>
      <c r="J14" s="46"/>
      <c r="K14" s="396"/>
      <c r="L14" s="46"/>
      <c r="M14" s="396"/>
      <c r="N14" s="1397"/>
      <c r="O14" s="399"/>
      <c r="P14" s="398"/>
    </row>
    <row r="15" spans="1:54" ht="74.25" customHeight="1" x14ac:dyDescent="0.2">
      <c r="A15" s="396"/>
      <c r="B15" s="396"/>
      <c r="C15" s="396"/>
      <c r="D15" s="396"/>
      <c r="E15" s="46"/>
      <c r="F15" s="396"/>
      <c r="G15" s="46"/>
      <c r="H15" s="46"/>
      <c r="I15" s="396"/>
      <c r="J15" s="46"/>
      <c r="K15" s="396"/>
      <c r="L15" s="960"/>
      <c r="M15" s="961"/>
      <c r="N15" s="961"/>
      <c r="O15" s="399"/>
      <c r="P15" s="398"/>
    </row>
    <row r="16" spans="1:54" ht="74.25" customHeight="1" x14ac:dyDescent="0.2">
      <c r="A16" s="396"/>
      <c r="B16" s="396"/>
      <c r="C16" s="396"/>
      <c r="D16" s="396"/>
      <c r="E16" s="46"/>
      <c r="F16" s="396"/>
      <c r="G16" s="46"/>
      <c r="H16" s="46"/>
      <c r="I16" s="396"/>
      <c r="J16" s="46"/>
      <c r="K16" s="396"/>
      <c r="L16" s="46"/>
      <c r="M16" s="396"/>
      <c r="N16" s="398"/>
      <c r="O16" s="399"/>
      <c r="P16" s="398"/>
    </row>
    <row r="17" spans="1:16" ht="74.25" customHeight="1" x14ac:dyDescent="0.2">
      <c r="A17" s="396"/>
      <c r="B17" s="396"/>
      <c r="C17" s="396"/>
      <c r="D17" s="396"/>
      <c r="E17" s="46"/>
      <c r="F17" s="396"/>
      <c r="G17" s="46"/>
      <c r="H17" s="46"/>
      <c r="I17" s="396"/>
      <c r="J17" s="46"/>
      <c r="K17" s="396"/>
      <c r="L17" s="46"/>
      <c r="M17" s="396"/>
      <c r="N17" s="398"/>
      <c r="O17" s="399"/>
      <c r="P17" s="398"/>
    </row>
    <row r="18" spans="1:16" ht="74.25" customHeight="1" x14ac:dyDescent="0.2">
      <c r="A18" s="396"/>
      <c r="B18" s="396"/>
      <c r="C18" s="396"/>
      <c r="D18" s="396"/>
      <c r="E18" s="46"/>
      <c r="F18" s="396"/>
      <c r="G18" s="46"/>
      <c r="H18" s="46"/>
      <c r="I18" s="396"/>
      <c r="J18" s="46"/>
      <c r="K18" s="396"/>
      <c r="L18" s="46"/>
      <c r="M18" s="396"/>
      <c r="N18" s="398"/>
      <c r="O18" s="399"/>
      <c r="P18" s="398"/>
    </row>
    <row r="19" spans="1:16" ht="74.25" customHeight="1" x14ac:dyDescent="0.2">
      <c r="A19" s="396"/>
      <c r="B19" s="396"/>
      <c r="C19" s="396"/>
      <c r="D19" s="396"/>
      <c r="E19" s="46"/>
      <c r="F19" s="396"/>
      <c r="G19" s="46"/>
      <c r="H19" s="46"/>
      <c r="I19" s="396"/>
      <c r="J19" s="46"/>
      <c r="K19" s="396"/>
      <c r="L19" s="46"/>
      <c r="M19" s="396"/>
      <c r="N19" s="398"/>
      <c r="O19" s="399"/>
      <c r="P19" s="398"/>
    </row>
    <row r="20" spans="1:16" ht="74.25" customHeight="1" x14ac:dyDescent="0.2">
      <c r="A20" s="396"/>
      <c r="B20" s="396"/>
      <c r="C20" s="396"/>
      <c r="D20" s="396"/>
      <c r="E20" s="46"/>
      <c r="F20" s="396"/>
      <c r="G20" s="46"/>
      <c r="H20" s="46"/>
      <c r="I20" s="396"/>
      <c r="J20" s="46"/>
      <c r="K20" s="396"/>
      <c r="L20" s="46"/>
      <c r="M20" s="396"/>
      <c r="N20" s="398"/>
      <c r="O20" s="399"/>
      <c r="P20" s="398"/>
    </row>
    <row r="21" spans="1:16" ht="74.25" customHeight="1" x14ac:dyDescent="0.2">
      <c r="A21" s="396"/>
      <c r="B21" s="396"/>
      <c r="C21" s="396"/>
      <c r="D21" s="396"/>
      <c r="E21" s="46"/>
      <c r="F21" s="396"/>
      <c r="G21" s="46"/>
      <c r="H21" s="46"/>
      <c r="I21" s="396"/>
      <c r="J21" s="46"/>
      <c r="K21" s="396"/>
      <c r="L21" s="46"/>
      <c r="M21" s="396"/>
      <c r="N21" s="398"/>
      <c r="O21" s="399"/>
      <c r="P21" s="398"/>
    </row>
    <row r="22" spans="1:16" ht="74.25" customHeight="1" x14ac:dyDescent="0.2">
      <c r="A22" s="396"/>
      <c r="B22" s="396"/>
      <c r="C22" s="396"/>
      <c r="D22" s="396"/>
      <c r="E22" s="46"/>
      <c r="F22" s="396"/>
      <c r="G22" s="46"/>
      <c r="H22" s="46"/>
      <c r="I22" s="396"/>
      <c r="J22" s="46"/>
      <c r="K22" s="396"/>
      <c r="L22" s="46"/>
      <c r="M22" s="396"/>
      <c r="N22" s="398"/>
      <c r="O22" s="399"/>
      <c r="P22" s="398"/>
    </row>
    <row r="23" spans="1:16" ht="74.25" customHeight="1" x14ac:dyDescent="0.2">
      <c r="A23" s="396"/>
      <c r="B23" s="396"/>
      <c r="C23" s="396"/>
      <c r="D23" s="396"/>
      <c r="E23" s="46"/>
      <c r="F23" s="396"/>
      <c r="G23" s="46"/>
      <c r="H23" s="46"/>
      <c r="I23" s="396"/>
      <c r="J23" s="46"/>
      <c r="K23" s="396"/>
      <c r="L23" s="46"/>
      <c r="M23" s="396"/>
      <c r="N23" s="398"/>
      <c r="O23" s="399"/>
      <c r="P23" s="398"/>
    </row>
    <row r="24" spans="1:16" ht="74.25" customHeight="1" x14ac:dyDescent="0.2">
      <c r="A24" s="396"/>
      <c r="B24" s="396"/>
      <c r="C24" s="396"/>
      <c r="D24" s="396"/>
      <c r="E24" s="46"/>
      <c r="F24" s="396"/>
      <c r="G24" s="46"/>
      <c r="H24" s="46"/>
      <c r="I24" s="396"/>
      <c r="J24" s="46"/>
      <c r="K24" s="396"/>
      <c r="L24" s="46"/>
      <c r="M24" s="396"/>
      <c r="N24" s="398"/>
      <c r="O24" s="399"/>
      <c r="P24" s="398"/>
    </row>
    <row r="25" spans="1:16" ht="74.25" customHeight="1" x14ac:dyDescent="0.2">
      <c r="A25" s="396"/>
      <c r="B25" s="396"/>
      <c r="C25" s="396"/>
      <c r="D25" s="396"/>
      <c r="E25" s="46"/>
      <c r="F25" s="396"/>
      <c r="G25" s="46"/>
      <c r="H25" s="46"/>
      <c r="I25" s="396"/>
      <c r="J25" s="46"/>
      <c r="K25" s="396"/>
      <c r="L25" s="46"/>
      <c r="M25" s="396"/>
      <c r="N25" s="398"/>
      <c r="O25" s="399"/>
      <c r="P25" s="398"/>
    </row>
    <row r="26" spans="1:16" ht="74.25" customHeight="1" x14ac:dyDescent="0.2">
      <c r="A26" s="396"/>
      <c r="B26" s="396"/>
      <c r="C26" s="396"/>
      <c r="D26" s="396"/>
      <c r="E26" s="46"/>
      <c r="F26" s="396"/>
      <c r="G26" s="46"/>
      <c r="H26" s="46"/>
      <c r="I26" s="396"/>
      <c r="J26" s="46"/>
      <c r="K26" s="396"/>
      <c r="L26" s="46"/>
      <c r="M26" s="396"/>
      <c r="N26" s="398"/>
      <c r="O26" s="399"/>
      <c r="P26" s="398"/>
    </row>
    <row r="27" spans="1:16" ht="74.25" customHeight="1" x14ac:dyDescent="0.2">
      <c r="A27" s="396"/>
      <c r="B27" s="396"/>
      <c r="C27" s="396"/>
      <c r="D27" s="396"/>
      <c r="E27" s="46"/>
      <c r="F27" s="396"/>
      <c r="G27" s="46"/>
      <c r="H27" s="46"/>
      <c r="I27" s="396"/>
      <c r="J27" s="46"/>
      <c r="K27" s="396"/>
      <c r="L27" s="46"/>
      <c r="M27" s="396"/>
      <c r="N27" s="398"/>
      <c r="O27" s="399"/>
      <c r="P27" s="398"/>
    </row>
    <row r="28" spans="1:16" ht="74.25" customHeight="1" x14ac:dyDescent="0.2">
      <c r="A28" s="396"/>
      <c r="B28" s="396"/>
      <c r="C28" s="396"/>
      <c r="D28" s="396"/>
      <c r="E28" s="46"/>
      <c r="F28" s="396"/>
      <c r="G28" s="46"/>
      <c r="H28" s="46"/>
      <c r="I28" s="396"/>
      <c r="J28" s="46"/>
      <c r="K28" s="396"/>
      <c r="L28" s="46"/>
      <c r="M28" s="396"/>
      <c r="N28" s="398"/>
      <c r="O28" s="399"/>
      <c r="P28" s="398"/>
    </row>
    <row r="29" spans="1:16" ht="74.25" customHeight="1" x14ac:dyDescent="0.2">
      <c r="A29" s="396"/>
      <c r="B29" s="396"/>
      <c r="C29" s="396"/>
      <c r="D29" s="396"/>
      <c r="E29" s="46"/>
      <c r="F29" s="396"/>
      <c r="G29" s="46"/>
      <c r="H29" s="46"/>
      <c r="I29" s="396"/>
      <c r="J29" s="46"/>
      <c r="K29" s="396"/>
      <c r="L29" s="46"/>
      <c r="M29" s="396"/>
      <c r="N29" s="398"/>
      <c r="O29" s="399"/>
      <c r="P29" s="398"/>
    </row>
    <row r="30" spans="1:16" ht="74.25" customHeight="1" x14ac:dyDescent="0.2">
      <c r="A30" s="396"/>
      <c r="B30" s="396"/>
      <c r="C30" s="396"/>
      <c r="D30" s="396"/>
      <c r="E30" s="46"/>
      <c r="F30" s="396"/>
      <c r="G30" s="46"/>
      <c r="H30" s="46"/>
      <c r="I30" s="396"/>
      <c r="J30" s="46"/>
      <c r="K30" s="396"/>
      <c r="L30" s="46"/>
      <c r="M30" s="396"/>
      <c r="N30" s="398"/>
      <c r="O30" s="399"/>
      <c r="P30" s="398"/>
    </row>
    <row r="31" spans="1:16" ht="74.25" customHeight="1" x14ac:dyDescent="0.2">
      <c r="A31" s="396"/>
      <c r="B31" s="396"/>
      <c r="C31" s="396"/>
      <c r="D31" s="396"/>
      <c r="E31" s="46"/>
      <c r="F31" s="396"/>
      <c r="G31" s="46"/>
      <c r="H31" s="46"/>
      <c r="I31" s="396"/>
      <c r="J31" s="46"/>
      <c r="K31" s="396"/>
      <c r="L31" s="46"/>
      <c r="M31" s="396"/>
      <c r="N31" s="398"/>
      <c r="O31" s="399"/>
      <c r="P31" s="398"/>
    </row>
    <row r="32" spans="1:16" ht="74.25" customHeight="1" x14ac:dyDescent="0.2">
      <c r="A32" s="396"/>
      <c r="B32" s="396"/>
      <c r="C32" s="396"/>
      <c r="D32" s="396"/>
      <c r="E32" s="46"/>
      <c r="F32" s="396"/>
      <c r="G32" s="46"/>
      <c r="H32" s="46"/>
      <c r="I32" s="396"/>
      <c r="J32" s="46"/>
      <c r="K32" s="396"/>
      <c r="L32" s="46"/>
      <c r="M32" s="396"/>
      <c r="N32" s="398"/>
      <c r="O32" s="399"/>
      <c r="P32" s="398"/>
    </row>
    <row r="33" spans="1:16" ht="74.25" customHeight="1" x14ac:dyDescent="0.2">
      <c r="A33" s="396"/>
      <c r="B33" s="396"/>
      <c r="C33" s="396"/>
      <c r="D33" s="396"/>
      <c r="E33" s="46"/>
      <c r="F33" s="396"/>
      <c r="G33" s="46"/>
      <c r="H33" s="46"/>
      <c r="I33" s="396"/>
      <c r="J33" s="46"/>
      <c r="K33" s="396"/>
      <c r="L33" s="46"/>
      <c r="M33" s="396"/>
      <c r="N33" s="398"/>
      <c r="O33" s="399"/>
      <c r="P33" s="398"/>
    </row>
    <row r="34" spans="1:16" ht="74.25" customHeight="1" x14ac:dyDescent="0.2">
      <c r="A34" s="396"/>
      <c r="B34" s="396"/>
      <c r="C34" s="396"/>
      <c r="D34" s="396"/>
      <c r="E34" s="46"/>
      <c r="F34" s="396"/>
      <c r="G34" s="46"/>
      <c r="H34" s="46"/>
      <c r="I34" s="396"/>
      <c r="J34" s="46"/>
      <c r="K34" s="396"/>
      <c r="L34" s="46"/>
      <c r="M34" s="396"/>
      <c r="N34" s="398"/>
      <c r="O34" s="399"/>
      <c r="P34" s="398"/>
    </row>
    <row r="35" spans="1:16" ht="74.25" customHeight="1" x14ac:dyDescent="0.2">
      <c r="A35" s="396"/>
      <c r="B35" s="396"/>
      <c r="C35" s="396"/>
      <c r="D35" s="396"/>
      <c r="E35" s="46"/>
      <c r="F35" s="396"/>
      <c r="G35" s="46"/>
      <c r="H35" s="46"/>
      <c r="I35" s="396"/>
      <c r="J35" s="46"/>
      <c r="K35" s="396"/>
      <c r="L35" s="46"/>
      <c r="M35" s="396"/>
      <c r="N35" s="398"/>
      <c r="O35" s="399"/>
      <c r="P35" s="398"/>
    </row>
    <row r="36" spans="1:16" ht="74.25" customHeight="1" x14ac:dyDescent="0.2">
      <c r="A36" s="396"/>
      <c r="B36" s="396"/>
      <c r="C36" s="396"/>
      <c r="D36" s="396"/>
      <c r="E36" s="46"/>
      <c r="F36" s="396"/>
      <c r="G36" s="46"/>
      <c r="H36" s="46"/>
      <c r="I36" s="396"/>
      <c r="J36" s="46"/>
      <c r="K36" s="396"/>
      <c r="L36" s="46"/>
      <c r="M36" s="396"/>
      <c r="N36" s="398"/>
      <c r="O36" s="399"/>
      <c r="P36" s="398"/>
    </row>
    <row r="37" spans="1:16" ht="74.25" customHeight="1" x14ac:dyDescent="0.2">
      <c r="A37" s="396"/>
      <c r="B37" s="396"/>
      <c r="C37" s="396"/>
      <c r="D37" s="396"/>
      <c r="E37" s="46"/>
      <c r="F37" s="396"/>
      <c r="G37" s="46"/>
      <c r="H37" s="46"/>
      <c r="I37" s="396"/>
      <c r="J37" s="46"/>
      <c r="K37" s="396"/>
      <c r="L37" s="46"/>
      <c r="M37" s="396"/>
      <c r="N37" s="398"/>
      <c r="O37" s="399"/>
      <c r="P37" s="398"/>
    </row>
    <row r="38" spans="1:16" ht="74.25" customHeight="1" x14ac:dyDescent="0.2">
      <c r="A38" s="396"/>
      <c r="B38" s="396"/>
      <c r="C38" s="396"/>
      <c r="D38" s="396"/>
      <c r="E38" s="46"/>
      <c r="F38" s="396"/>
      <c r="G38" s="46"/>
      <c r="H38" s="46"/>
      <c r="I38" s="396"/>
      <c r="J38" s="46"/>
      <c r="K38" s="396"/>
      <c r="L38" s="46"/>
      <c r="M38" s="396"/>
      <c r="N38" s="398"/>
      <c r="O38" s="399"/>
      <c r="P38" s="398"/>
    </row>
    <row r="39" spans="1:16" ht="74.25" customHeight="1" x14ac:dyDescent="0.2">
      <c r="A39" s="396"/>
      <c r="B39" s="396"/>
      <c r="C39" s="396"/>
      <c r="D39" s="396"/>
      <c r="E39" s="46"/>
      <c r="F39" s="396"/>
      <c r="G39" s="46"/>
      <c r="H39" s="46"/>
      <c r="I39" s="396"/>
      <c r="J39" s="46"/>
      <c r="K39" s="396"/>
      <c r="L39" s="46"/>
      <c r="M39" s="396"/>
      <c r="N39" s="398"/>
      <c r="O39" s="399"/>
      <c r="P39" s="398"/>
    </row>
    <row r="40" spans="1:16" ht="74.25" customHeight="1" x14ac:dyDescent="0.2">
      <c r="A40" s="396"/>
      <c r="B40" s="396"/>
      <c r="C40" s="396"/>
      <c r="D40" s="396"/>
      <c r="E40" s="46"/>
      <c r="F40" s="396"/>
      <c r="G40" s="46"/>
      <c r="H40" s="46"/>
      <c r="I40" s="396"/>
      <c r="J40" s="46"/>
      <c r="K40" s="396"/>
      <c r="L40" s="46"/>
      <c r="M40" s="396"/>
      <c r="N40" s="398"/>
      <c r="O40" s="399"/>
      <c r="P40" s="398"/>
    </row>
    <row r="41" spans="1:16" ht="74.25" customHeight="1" x14ac:dyDescent="0.2">
      <c r="A41" s="396"/>
      <c r="B41" s="396"/>
      <c r="C41" s="396"/>
      <c r="D41" s="396"/>
      <c r="E41" s="46"/>
      <c r="F41" s="396"/>
      <c r="G41" s="46"/>
      <c r="H41" s="46"/>
      <c r="I41" s="396"/>
      <c r="J41" s="46"/>
      <c r="K41" s="396"/>
      <c r="L41" s="46"/>
      <c r="M41" s="396"/>
      <c r="N41" s="398"/>
      <c r="O41" s="399"/>
      <c r="P41" s="398"/>
    </row>
    <row r="42" spans="1:16" ht="74.25" customHeight="1" x14ac:dyDescent="0.2">
      <c r="A42" s="396"/>
      <c r="B42" s="396"/>
      <c r="C42" s="396"/>
      <c r="D42" s="396"/>
      <c r="E42" s="46"/>
      <c r="F42" s="396"/>
      <c r="G42" s="46"/>
      <c r="H42" s="46"/>
      <c r="I42" s="396"/>
      <c r="J42" s="46"/>
      <c r="K42" s="396"/>
      <c r="L42" s="46"/>
      <c r="M42" s="396"/>
      <c r="N42" s="398"/>
      <c r="O42" s="399"/>
      <c r="P42" s="398"/>
    </row>
    <row r="43" spans="1:16" ht="74.25" customHeight="1" x14ac:dyDescent="0.2">
      <c r="A43" s="396"/>
      <c r="B43" s="396"/>
      <c r="C43" s="396"/>
      <c r="D43" s="396"/>
      <c r="E43" s="46"/>
      <c r="F43" s="396"/>
      <c r="G43" s="46"/>
      <c r="H43" s="46"/>
      <c r="I43" s="396"/>
      <c r="J43" s="46"/>
      <c r="K43" s="396"/>
      <c r="L43" s="46"/>
      <c r="M43" s="396"/>
      <c r="N43" s="398"/>
      <c r="O43" s="399"/>
      <c r="P43" s="398"/>
    </row>
    <row r="44" spans="1:16" ht="74.25" customHeight="1" x14ac:dyDescent="0.2">
      <c r="A44" s="396"/>
      <c r="B44" s="396"/>
      <c r="C44" s="396"/>
      <c r="D44" s="396"/>
      <c r="E44" s="46"/>
      <c r="F44" s="396"/>
      <c r="G44" s="46"/>
      <c r="H44" s="46"/>
      <c r="I44" s="396"/>
      <c r="J44" s="46"/>
      <c r="K44" s="396"/>
      <c r="L44" s="46"/>
      <c r="M44" s="396"/>
      <c r="N44" s="398"/>
      <c r="O44" s="399"/>
      <c r="P44" s="398"/>
    </row>
    <row r="45" spans="1:16" ht="74.25" customHeight="1" x14ac:dyDescent="0.2">
      <c r="A45" s="396"/>
      <c r="B45" s="396"/>
      <c r="C45" s="396"/>
      <c r="D45" s="396"/>
      <c r="E45" s="46"/>
      <c r="F45" s="396"/>
      <c r="G45" s="46"/>
      <c r="H45" s="46"/>
      <c r="I45" s="396"/>
      <c r="J45" s="46"/>
      <c r="K45" s="396"/>
      <c r="L45" s="46"/>
      <c r="M45" s="396"/>
      <c r="N45" s="398"/>
      <c r="O45" s="399"/>
      <c r="P45" s="398"/>
    </row>
    <row r="46" spans="1:16" ht="74.25" customHeight="1" x14ac:dyDescent="0.2">
      <c r="A46" s="396"/>
      <c r="B46" s="396"/>
      <c r="C46" s="396"/>
      <c r="D46" s="396"/>
      <c r="E46" s="46"/>
      <c r="F46" s="396"/>
      <c r="G46" s="46"/>
      <c r="H46" s="46"/>
      <c r="I46" s="396"/>
      <c r="J46" s="46"/>
      <c r="K46" s="396"/>
      <c r="L46" s="46"/>
      <c r="M46" s="396"/>
      <c r="N46" s="398"/>
      <c r="O46" s="399"/>
      <c r="P46" s="398"/>
    </row>
    <row r="47" spans="1:16" ht="74.25" customHeight="1" x14ac:dyDescent="0.2">
      <c r="A47" s="396"/>
      <c r="B47" s="396"/>
      <c r="C47" s="396"/>
      <c r="D47" s="396"/>
      <c r="E47" s="46"/>
      <c r="F47" s="396"/>
      <c r="G47" s="46"/>
      <c r="H47" s="46"/>
      <c r="I47" s="396"/>
      <c r="J47" s="46"/>
      <c r="K47" s="396"/>
      <c r="L47" s="46"/>
      <c r="M47" s="396"/>
      <c r="N47" s="398"/>
      <c r="O47" s="399"/>
      <c r="P47" s="398"/>
    </row>
    <row r="48" spans="1:16" ht="74.25" customHeight="1" x14ac:dyDescent="0.2">
      <c r="A48" s="396"/>
      <c r="B48" s="396"/>
      <c r="C48" s="396"/>
      <c r="D48" s="396"/>
      <c r="E48" s="46"/>
      <c r="F48" s="396"/>
      <c r="G48" s="46"/>
      <c r="H48" s="46"/>
      <c r="I48" s="396"/>
      <c r="J48" s="46"/>
      <c r="K48" s="396"/>
      <c r="L48" s="46"/>
      <c r="M48" s="396"/>
      <c r="N48" s="398"/>
      <c r="O48" s="399"/>
      <c r="P48" s="398"/>
    </row>
    <row r="49" spans="1:16" ht="74.25" customHeight="1" x14ac:dyDescent="0.2">
      <c r="A49" s="396"/>
      <c r="B49" s="396"/>
      <c r="C49" s="396"/>
      <c r="D49" s="396"/>
      <c r="E49" s="46"/>
      <c r="F49" s="396"/>
      <c r="G49" s="46"/>
      <c r="H49" s="46"/>
      <c r="I49" s="396"/>
      <c r="J49" s="46"/>
      <c r="K49" s="396"/>
      <c r="L49" s="46"/>
      <c r="M49" s="396"/>
      <c r="N49" s="398"/>
      <c r="O49" s="399"/>
      <c r="P49" s="398"/>
    </row>
    <row r="50" spans="1:16" ht="74.25" customHeight="1" x14ac:dyDescent="0.2">
      <c r="A50" s="396"/>
      <c r="B50" s="396"/>
      <c r="C50" s="396"/>
      <c r="D50" s="396"/>
      <c r="E50" s="46"/>
      <c r="F50" s="396"/>
      <c r="G50" s="46"/>
      <c r="H50" s="46"/>
      <c r="I50" s="396"/>
      <c r="J50" s="46"/>
      <c r="K50" s="396"/>
      <c r="L50" s="46"/>
      <c r="M50" s="396"/>
      <c r="N50" s="398"/>
      <c r="O50" s="399"/>
      <c r="P50" s="398"/>
    </row>
    <row r="51" spans="1:16" ht="74.25" customHeight="1" x14ac:dyDescent="0.2">
      <c r="A51" s="396"/>
      <c r="B51" s="396"/>
      <c r="C51" s="396"/>
      <c r="D51" s="396"/>
      <c r="E51" s="46"/>
      <c r="F51" s="396"/>
      <c r="G51" s="46"/>
      <c r="H51" s="46"/>
      <c r="I51" s="396"/>
      <c r="J51" s="46"/>
      <c r="K51" s="396"/>
      <c r="L51" s="46"/>
      <c r="M51" s="396"/>
      <c r="N51" s="398"/>
      <c r="O51" s="399"/>
      <c r="P51" s="398"/>
    </row>
    <row r="52" spans="1:16" ht="74.25" customHeight="1" x14ac:dyDescent="0.2">
      <c r="A52" s="396"/>
      <c r="B52" s="396"/>
      <c r="C52" s="396"/>
      <c r="D52" s="396"/>
      <c r="E52" s="46"/>
      <c r="F52" s="396"/>
      <c r="G52" s="46"/>
      <c r="H52" s="46"/>
      <c r="I52" s="396"/>
      <c r="J52" s="46"/>
      <c r="K52" s="396"/>
      <c r="L52" s="46"/>
      <c r="M52" s="396"/>
      <c r="N52" s="398"/>
      <c r="O52" s="399"/>
      <c r="P52" s="398"/>
    </row>
    <row r="53" spans="1:16" ht="74.25" customHeight="1" x14ac:dyDescent="0.2">
      <c r="A53" s="396"/>
      <c r="B53" s="396"/>
      <c r="C53" s="396"/>
      <c r="D53" s="396"/>
      <c r="E53" s="46"/>
      <c r="F53" s="396"/>
      <c r="G53" s="46"/>
      <c r="H53" s="46"/>
      <c r="I53" s="396"/>
      <c r="J53" s="46"/>
      <c r="K53" s="396"/>
      <c r="L53" s="46"/>
      <c r="M53" s="396"/>
      <c r="N53" s="398"/>
      <c r="O53" s="399"/>
      <c r="P53" s="398"/>
    </row>
    <row r="54" spans="1:16" ht="74.25" customHeight="1" x14ac:dyDescent="0.2">
      <c r="A54" s="396"/>
      <c r="B54" s="396"/>
      <c r="C54" s="396"/>
      <c r="D54" s="396"/>
      <c r="E54" s="46"/>
      <c r="F54" s="396"/>
      <c r="G54" s="46"/>
      <c r="H54" s="46"/>
      <c r="I54" s="396"/>
      <c r="J54" s="46"/>
      <c r="K54" s="396"/>
      <c r="L54" s="46"/>
      <c r="M54" s="396"/>
      <c r="N54" s="398"/>
      <c r="O54" s="399"/>
      <c r="P54" s="398"/>
    </row>
    <row r="55" spans="1:16" ht="74.25" customHeight="1" x14ac:dyDescent="0.2">
      <c r="A55" s="396"/>
      <c r="B55" s="396"/>
      <c r="C55" s="396"/>
      <c r="D55" s="396"/>
      <c r="E55" s="46"/>
      <c r="F55" s="396"/>
      <c r="G55" s="46"/>
      <c r="H55" s="46"/>
      <c r="I55" s="396"/>
      <c r="J55" s="46"/>
      <c r="K55" s="396"/>
      <c r="L55" s="46"/>
      <c r="M55" s="396"/>
      <c r="N55" s="398"/>
      <c r="O55" s="399"/>
      <c r="P55" s="398"/>
    </row>
    <row r="56" spans="1:16" ht="74.25" customHeight="1" x14ac:dyDescent="0.2">
      <c r="A56" s="396"/>
      <c r="B56" s="396"/>
      <c r="C56" s="396"/>
      <c r="D56" s="396"/>
      <c r="E56" s="46"/>
      <c r="F56" s="396"/>
      <c r="G56" s="46"/>
      <c r="H56" s="46"/>
      <c r="I56" s="396"/>
      <c r="J56" s="46"/>
      <c r="K56" s="396"/>
      <c r="L56" s="46"/>
      <c r="M56" s="396"/>
      <c r="N56" s="398"/>
      <c r="O56" s="399"/>
      <c r="P56" s="398"/>
    </row>
    <row r="57" spans="1:16" ht="74.25" customHeight="1" x14ac:dyDescent="0.2">
      <c r="A57" s="396"/>
      <c r="B57" s="396"/>
      <c r="C57" s="396"/>
      <c r="D57" s="396"/>
      <c r="E57" s="46"/>
      <c r="F57" s="396"/>
      <c r="G57" s="46"/>
      <c r="H57" s="46"/>
      <c r="I57" s="396"/>
      <c r="J57" s="46"/>
      <c r="K57" s="396"/>
      <c r="L57" s="46"/>
      <c r="M57" s="396"/>
      <c r="N57" s="398"/>
      <c r="O57" s="399"/>
      <c r="P57" s="398"/>
    </row>
    <row r="58" spans="1:16" ht="74.25" customHeight="1" x14ac:dyDescent="0.2">
      <c r="A58" s="396"/>
      <c r="B58" s="396"/>
      <c r="C58" s="396"/>
      <c r="D58" s="396"/>
      <c r="E58" s="46"/>
      <c r="F58" s="396"/>
      <c r="G58" s="46"/>
      <c r="H58" s="46"/>
      <c r="I58" s="396"/>
      <c r="J58" s="46"/>
      <c r="K58" s="396"/>
      <c r="L58" s="46"/>
      <c r="M58" s="396"/>
      <c r="N58" s="398"/>
      <c r="O58" s="399"/>
      <c r="P58" s="398"/>
    </row>
    <row r="59" spans="1:16" ht="74.25" customHeight="1" x14ac:dyDescent="0.2">
      <c r="A59" s="396"/>
      <c r="B59" s="396"/>
      <c r="C59" s="396"/>
      <c r="D59" s="396"/>
      <c r="E59" s="46"/>
      <c r="F59" s="396"/>
      <c r="G59" s="46"/>
      <c r="H59" s="46"/>
      <c r="I59" s="396"/>
      <c r="J59" s="46"/>
      <c r="K59" s="396"/>
      <c r="L59" s="46"/>
      <c r="M59" s="396"/>
      <c r="N59" s="398"/>
      <c r="O59" s="399"/>
      <c r="P59" s="398"/>
    </row>
    <row r="60" spans="1:16" ht="74.25" customHeight="1" x14ac:dyDescent="0.2">
      <c r="A60" s="396"/>
      <c r="B60" s="396"/>
      <c r="C60" s="396"/>
      <c r="D60" s="396"/>
      <c r="E60" s="46"/>
      <c r="F60" s="396"/>
      <c r="G60" s="46"/>
      <c r="H60" s="46"/>
      <c r="I60" s="396"/>
      <c r="J60" s="46"/>
      <c r="K60" s="396"/>
      <c r="L60" s="46"/>
      <c r="M60" s="396"/>
      <c r="N60" s="398"/>
      <c r="O60" s="399"/>
      <c r="P60" s="398"/>
    </row>
    <row r="61" spans="1:16" ht="74.25" customHeight="1" x14ac:dyDescent="0.2">
      <c r="A61" s="396" t="e">
        <f>_xlfn.IFNA(VLOOKUP(Disaggregation_1A!B61,IODissagg,8,FALSE)," ")</f>
        <v>#REF!</v>
      </c>
      <c r="B61" s="396"/>
      <c r="C61" s="396"/>
      <c r="D61" s="396"/>
      <c r="E61" s="46"/>
      <c r="F61" s="396"/>
      <c r="G61" s="46"/>
      <c r="H61" s="46"/>
      <c r="I61" s="396"/>
      <c r="J61" s="46"/>
      <c r="K61" s="396"/>
      <c r="L61" s="46"/>
      <c r="M61" s="396"/>
      <c r="N61" s="398"/>
      <c r="O61" s="399"/>
      <c r="P61" s="400"/>
    </row>
    <row r="62" spans="1:16" ht="57" customHeight="1" x14ac:dyDescent="0.2">
      <c r="A62" s="396" t="e">
        <f>_xlfn.IFNA(VLOOKUP(Disaggregation_1A!B62,IODissagg,8,FALSE)," ")</f>
        <v>#REF!</v>
      </c>
      <c r="B62" s="396"/>
      <c r="C62" s="396"/>
      <c r="D62" s="396"/>
      <c r="E62" s="46"/>
      <c r="F62" s="396"/>
      <c r="G62" s="46"/>
      <c r="H62" s="46"/>
      <c r="I62" s="396"/>
      <c r="J62" s="46"/>
      <c r="K62" s="396"/>
      <c r="L62" s="46"/>
      <c r="M62" s="396"/>
      <c r="N62" s="398"/>
      <c r="O62" s="399"/>
      <c r="P62" s="400"/>
    </row>
    <row r="63" spans="1:16" ht="57" customHeight="1" x14ac:dyDescent="0.2">
      <c r="A63" s="396" t="e">
        <f>_xlfn.IFNA(VLOOKUP(Disaggregation_1A!B63,IODissagg,8,FALSE)," ")</f>
        <v>#REF!</v>
      </c>
      <c r="B63" s="396"/>
      <c r="C63" s="396"/>
      <c r="D63" s="396"/>
      <c r="E63" s="46"/>
      <c r="F63" s="396"/>
      <c r="G63" s="46"/>
      <c r="H63" s="46"/>
      <c r="I63" s="396"/>
      <c r="J63" s="46"/>
      <c r="K63" s="396"/>
      <c r="L63" s="46"/>
      <c r="M63" s="396"/>
      <c r="N63" s="398"/>
      <c r="O63" s="399"/>
      <c r="P63" s="46"/>
    </row>
    <row r="64" spans="1:16" ht="57" customHeight="1" x14ac:dyDescent="0.2">
      <c r="A64" s="396" t="e">
        <f>_xlfn.IFNA(VLOOKUP(Disaggregation_1A!B64,IODissagg,8,FALSE)," ")</f>
        <v>#REF!</v>
      </c>
      <c r="B64" s="396"/>
      <c r="C64" s="396"/>
      <c r="D64" s="396"/>
      <c r="E64" s="46"/>
      <c r="F64" s="396"/>
      <c r="G64" s="46"/>
      <c r="H64" s="46"/>
      <c r="I64" s="396"/>
      <c r="J64" s="46"/>
      <c r="K64" s="396"/>
      <c r="L64" s="46"/>
      <c r="M64" s="396"/>
      <c r="N64" s="398"/>
      <c r="O64" s="399"/>
      <c r="P64" s="46"/>
    </row>
    <row r="65" spans="1:16" ht="57" customHeight="1" x14ac:dyDescent="0.2">
      <c r="A65" s="396" t="e">
        <f>_xlfn.IFNA(VLOOKUP(Disaggregation_1A!B65,IODissagg,8,FALSE)," ")</f>
        <v>#REF!</v>
      </c>
      <c r="B65" s="396"/>
      <c r="C65" s="396"/>
      <c r="D65" s="396"/>
      <c r="E65" s="46"/>
      <c r="F65" s="396"/>
      <c r="G65" s="46"/>
      <c r="H65" s="46"/>
      <c r="I65" s="396"/>
      <c r="J65" s="46"/>
      <c r="K65" s="396"/>
      <c r="L65" s="46"/>
      <c r="M65" s="396"/>
      <c r="N65" s="398"/>
      <c r="O65" s="399"/>
      <c r="P65" s="46"/>
    </row>
    <row r="66" spans="1:16" ht="57" customHeight="1" x14ac:dyDescent="0.2">
      <c r="A66" s="396" t="e">
        <f>_xlfn.IFNA(VLOOKUP(Disaggregation_1A!#REF!,#REF!,5,FALSE)," ")</f>
        <v>#REF!</v>
      </c>
      <c r="B66" s="396"/>
      <c r="C66" s="46"/>
      <c r="D66" s="46"/>
      <c r="E66" s="46"/>
      <c r="F66" s="46"/>
      <c r="G66" s="46"/>
      <c r="H66" s="46"/>
      <c r="I66" s="46"/>
      <c r="J66" s="46"/>
      <c r="K66" s="46"/>
      <c r="N66" s="401"/>
      <c r="O66" s="402"/>
    </row>
    <row r="67" spans="1:16" ht="57" customHeight="1" x14ac:dyDescent="0.2">
      <c r="A67" s="403" t="e">
        <f>_xlfn.IFNA(VLOOKUP(Disaggregation_1A!#REF!,#REF!,5,FALSE)," ")</f>
        <v>#REF!</v>
      </c>
      <c r="B67" s="396"/>
      <c r="C67" s="46"/>
      <c r="D67" s="46"/>
      <c r="E67" s="46"/>
      <c r="F67" s="46"/>
      <c r="G67" s="46"/>
      <c r="H67" s="46"/>
      <c r="I67" s="46"/>
      <c r="J67" s="46"/>
      <c r="K67" s="46"/>
      <c r="N67" s="401"/>
      <c r="O67" s="402"/>
    </row>
    <row r="68" spans="1:16" ht="57" customHeight="1" x14ac:dyDescent="0.2">
      <c r="A68" s="403" t="e">
        <f>_xlfn.IFNA(VLOOKUP(Disaggregation_1A!#REF!,#REF!,5,FALSE)," ")</f>
        <v>#REF!</v>
      </c>
      <c r="B68" s="396"/>
      <c r="C68" s="46"/>
      <c r="D68" s="46"/>
      <c r="E68" s="46"/>
      <c r="F68" s="46"/>
      <c r="G68" s="46"/>
      <c r="H68" s="46"/>
      <c r="I68" s="46"/>
      <c r="J68" s="46"/>
      <c r="K68" s="46"/>
      <c r="N68" s="401"/>
      <c r="O68" s="402"/>
    </row>
    <row r="69" spans="1:16" ht="57" customHeight="1" x14ac:dyDescent="0.2">
      <c r="A69" s="403" t="e">
        <f>_xlfn.IFNA(VLOOKUP(Disaggregation_1A!#REF!,#REF!,5,FALSE)," ")</f>
        <v>#REF!</v>
      </c>
      <c r="B69" s="396"/>
      <c r="C69" s="46"/>
      <c r="D69" s="46"/>
      <c r="E69" s="46"/>
      <c r="F69" s="46"/>
      <c r="G69" s="46"/>
      <c r="H69" s="46"/>
      <c r="I69" s="46"/>
      <c r="J69" s="46"/>
      <c r="K69" s="46"/>
      <c r="N69" s="401"/>
      <c r="O69" s="402"/>
    </row>
    <row r="70" spans="1:16" ht="57" customHeight="1" x14ac:dyDescent="0.2">
      <c r="A70" s="403" t="e">
        <f>_xlfn.IFNA(VLOOKUP(Disaggregation_1A!#REF!,#REF!,5,FALSE)," ")</f>
        <v>#REF!</v>
      </c>
      <c r="B70" s="396"/>
      <c r="C70" s="46"/>
      <c r="D70" s="46"/>
      <c r="E70" s="46"/>
      <c r="F70" s="46"/>
      <c r="G70" s="46"/>
      <c r="H70" s="46"/>
      <c r="I70" s="46"/>
      <c r="J70" s="46"/>
      <c r="K70" s="46"/>
      <c r="O70" s="402"/>
    </row>
    <row r="71" spans="1:16" ht="57" customHeight="1" x14ac:dyDescent="0.2">
      <c r="A71" s="403" t="e">
        <f>_xlfn.IFNA(VLOOKUP(Disaggregation_1A!#REF!,#REF!,5,FALSE)," ")</f>
        <v>#REF!</v>
      </c>
      <c r="B71" s="396"/>
      <c r="C71" s="46"/>
      <c r="D71" s="46"/>
      <c r="E71" s="46"/>
      <c r="F71" s="46"/>
      <c r="G71" s="46"/>
      <c r="H71" s="46"/>
      <c r="I71" s="46"/>
      <c r="J71" s="46"/>
      <c r="K71" s="46"/>
      <c r="O71" s="402"/>
    </row>
    <row r="72" spans="1:16" ht="57" customHeight="1" x14ac:dyDescent="0.2">
      <c r="A72" s="403" t="e">
        <f>_xlfn.IFNA(VLOOKUP(Disaggregation_1A!#REF!,#REF!,5,FALSE)," ")</f>
        <v>#REF!</v>
      </c>
      <c r="B72" s="396"/>
      <c r="C72" s="46"/>
      <c r="D72" s="46"/>
      <c r="E72" s="46"/>
      <c r="F72" s="46"/>
      <c r="G72" s="46"/>
      <c r="H72" s="46"/>
      <c r="I72" s="46"/>
      <c r="J72" s="46"/>
      <c r="K72" s="46"/>
      <c r="O72" s="402"/>
    </row>
    <row r="73" spans="1:16" ht="57" customHeight="1" x14ac:dyDescent="0.2">
      <c r="A73" s="403" t="e">
        <f>_xlfn.IFNA(VLOOKUP(Disaggregation_1A!#REF!,#REF!,5,FALSE)," ")</f>
        <v>#REF!</v>
      </c>
      <c r="B73" s="396"/>
      <c r="C73" s="46"/>
      <c r="D73" s="46"/>
      <c r="E73" s="46"/>
      <c r="F73" s="46"/>
      <c r="G73" s="46"/>
      <c r="H73" s="46"/>
      <c r="I73" s="46"/>
      <c r="J73" s="46"/>
      <c r="K73" s="46"/>
      <c r="O73" s="402"/>
    </row>
    <row r="74" spans="1:16" ht="57" customHeight="1" x14ac:dyDescent="0.2">
      <c r="A74" s="403" t="e">
        <f>_xlfn.IFNA(VLOOKUP(Disaggregation_1A!#REF!,#REF!,5,FALSE)," ")</f>
        <v>#REF!</v>
      </c>
      <c r="B74" s="396"/>
      <c r="C74" s="46"/>
      <c r="D74" s="46"/>
      <c r="E74" s="46"/>
      <c r="F74" s="46"/>
      <c r="G74" s="46"/>
      <c r="H74" s="46"/>
      <c r="I74" s="46"/>
      <c r="J74" s="46"/>
      <c r="K74" s="46"/>
      <c r="O74" s="402"/>
    </row>
    <row r="75" spans="1:16" ht="57" customHeight="1" x14ac:dyDescent="0.2">
      <c r="A75" s="403" t="e">
        <f>_xlfn.IFNA(VLOOKUP(Disaggregation_1A!#REF!,#REF!,5,FALSE)," ")</f>
        <v>#REF!</v>
      </c>
      <c r="B75" s="396"/>
      <c r="C75" s="46"/>
      <c r="D75" s="46"/>
      <c r="E75" s="46"/>
      <c r="F75" s="46"/>
      <c r="G75" s="46"/>
      <c r="H75" s="46"/>
      <c r="I75" s="46"/>
      <c r="J75" s="46"/>
      <c r="K75" s="46"/>
      <c r="O75" s="402"/>
    </row>
    <row r="76" spans="1:16" ht="57" customHeight="1" x14ac:dyDescent="0.2">
      <c r="A76" s="403" t="e">
        <f>_xlfn.IFNA(VLOOKUP(Disaggregation_1A!#REF!,#REF!,5,FALSE)," ")</f>
        <v>#REF!</v>
      </c>
      <c r="B76" s="396"/>
      <c r="C76" s="46"/>
      <c r="D76" s="46"/>
      <c r="E76" s="46"/>
      <c r="F76" s="46"/>
      <c r="G76" s="46"/>
      <c r="H76" s="46"/>
      <c r="I76" s="46"/>
      <c r="J76" s="46"/>
      <c r="K76" s="46"/>
      <c r="O76" s="402"/>
    </row>
    <row r="77" spans="1:16" ht="57" customHeight="1" x14ac:dyDescent="0.2">
      <c r="A77" s="403" t="e">
        <f>_xlfn.IFNA(VLOOKUP(Disaggregation_1A!#REF!,#REF!,5,FALSE)," ")</f>
        <v>#REF!</v>
      </c>
      <c r="B77" s="396"/>
      <c r="C77" s="46"/>
      <c r="D77" s="46"/>
      <c r="E77" s="46"/>
      <c r="F77" s="46"/>
      <c r="G77" s="46"/>
      <c r="H77" s="46"/>
      <c r="I77" s="46"/>
      <c r="J77" s="46"/>
      <c r="K77" s="46"/>
      <c r="O77" s="402"/>
    </row>
    <row r="78" spans="1:16" ht="57" customHeight="1" x14ac:dyDescent="0.2">
      <c r="A78" s="403" t="e">
        <f>_xlfn.IFNA(VLOOKUP(Disaggregation_1A!#REF!,#REF!,5,FALSE)," ")</f>
        <v>#REF!</v>
      </c>
      <c r="B78" s="396"/>
      <c r="C78" s="46"/>
      <c r="D78" s="46"/>
      <c r="E78" s="46"/>
      <c r="F78" s="46"/>
      <c r="G78" s="46"/>
      <c r="H78" s="46"/>
      <c r="I78" s="46"/>
      <c r="J78" s="46"/>
      <c r="K78" s="46"/>
      <c r="O78" s="402"/>
    </row>
    <row r="79" spans="1:16" ht="57" customHeight="1" x14ac:dyDescent="0.2">
      <c r="A79" s="403" t="e">
        <f>_xlfn.IFNA(VLOOKUP(Disaggregation_1A!#REF!,#REF!,5,FALSE)," ")</f>
        <v>#REF!</v>
      </c>
      <c r="B79" s="396"/>
      <c r="C79" s="46"/>
      <c r="D79" s="46"/>
      <c r="E79" s="46"/>
      <c r="F79" s="46"/>
      <c r="G79" s="46"/>
      <c r="H79" s="46"/>
      <c r="I79" s="46"/>
      <c r="J79" s="46"/>
      <c r="K79" s="46"/>
      <c r="O79" s="402"/>
    </row>
    <row r="80" spans="1:16" ht="57" customHeight="1" x14ac:dyDescent="0.2">
      <c r="A80" s="403" t="e">
        <f>_xlfn.IFNA(VLOOKUP(Disaggregation_1A!#REF!,#REF!,5,FALSE)," ")</f>
        <v>#REF!</v>
      </c>
      <c r="B80" s="396"/>
      <c r="C80" s="46"/>
      <c r="D80" s="46"/>
      <c r="E80" s="46"/>
      <c r="F80" s="46"/>
      <c r="G80" s="46"/>
      <c r="H80" s="46"/>
      <c r="I80" s="46"/>
      <c r="J80" s="46"/>
      <c r="K80" s="46"/>
      <c r="O80" s="402"/>
    </row>
    <row r="81" spans="1:15" ht="57" customHeight="1" x14ac:dyDescent="0.2">
      <c r="A81" s="403" t="e">
        <f>_xlfn.IFNA(VLOOKUP(Disaggregation_1A!#REF!,#REF!,5,FALSE)," ")</f>
        <v>#REF!</v>
      </c>
      <c r="B81" s="396"/>
      <c r="C81" s="46"/>
      <c r="D81" s="46"/>
      <c r="E81" s="46"/>
      <c r="F81" s="46"/>
      <c r="G81" s="46"/>
      <c r="H81" s="46"/>
      <c r="I81" s="46"/>
      <c r="J81" s="46"/>
      <c r="K81" s="46"/>
      <c r="O81" s="402"/>
    </row>
    <row r="82" spans="1:15" ht="57" customHeight="1" x14ac:dyDescent="0.2">
      <c r="A82" s="403" t="e">
        <f>_xlfn.IFNA(VLOOKUP(Disaggregation_1A!#REF!,#REF!,5,FALSE)," ")</f>
        <v>#REF!</v>
      </c>
      <c r="B82" s="396"/>
      <c r="C82" s="46"/>
      <c r="D82" s="46"/>
      <c r="E82" s="46"/>
      <c r="F82" s="46"/>
      <c r="G82" s="46"/>
      <c r="H82" s="46"/>
      <c r="I82" s="46"/>
      <c r="J82" s="46"/>
      <c r="K82" s="46"/>
    </row>
    <row r="83" spans="1:15" ht="57" customHeight="1" x14ac:dyDescent="0.2">
      <c r="A83" s="403" t="e">
        <f>_xlfn.IFNA(VLOOKUP(Disaggregation_1A!#REF!,#REF!,5,FALSE)," ")</f>
        <v>#REF!</v>
      </c>
      <c r="B83" s="396"/>
      <c r="C83" s="46"/>
      <c r="D83" s="46"/>
      <c r="E83" s="46"/>
      <c r="F83" s="46"/>
      <c r="G83" s="46"/>
      <c r="H83" s="46"/>
      <c r="I83" s="46"/>
      <c r="J83" s="46"/>
      <c r="K83" s="46"/>
    </row>
    <row r="84" spans="1:15" ht="57" customHeight="1" x14ac:dyDescent="0.2">
      <c r="A84" s="403" t="e">
        <f>_xlfn.IFNA(VLOOKUP(Disaggregation_1A!#REF!,#REF!,5,FALSE)," ")</f>
        <v>#REF!</v>
      </c>
      <c r="B84" s="396"/>
      <c r="C84" s="46"/>
      <c r="D84" s="46"/>
      <c r="E84" s="46"/>
      <c r="F84" s="46"/>
      <c r="G84" s="46"/>
      <c r="H84" s="46"/>
      <c r="I84" s="46"/>
      <c r="J84" s="46"/>
      <c r="K84" s="46"/>
    </row>
    <row r="85" spans="1:15" ht="57" customHeight="1" x14ac:dyDescent="0.2">
      <c r="A85" s="403" t="e">
        <f>_xlfn.IFNA(VLOOKUP(Disaggregation_1A!#REF!,#REF!,5,FALSE)," ")</f>
        <v>#REF!</v>
      </c>
      <c r="B85" s="396"/>
      <c r="C85" s="46"/>
      <c r="D85" s="46"/>
      <c r="E85" s="46"/>
      <c r="F85" s="46"/>
      <c r="G85" s="46"/>
      <c r="H85" s="46"/>
      <c r="I85" s="46"/>
      <c r="J85" s="46"/>
      <c r="K85" s="46"/>
    </row>
    <row r="86" spans="1:15" ht="57" customHeight="1" x14ac:dyDescent="0.2">
      <c r="A86" s="403" t="e">
        <f>_xlfn.IFNA(VLOOKUP(Disaggregation_1A!#REF!,#REF!,5,FALSE)," ")</f>
        <v>#REF!</v>
      </c>
      <c r="B86" s="396"/>
      <c r="C86" s="46"/>
      <c r="D86" s="46"/>
      <c r="E86" s="46"/>
      <c r="F86" s="46"/>
      <c r="G86" s="46"/>
      <c r="H86" s="46"/>
      <c r="I86" s="46"/>
      <c r="J86" s="46"/>
      <c r="K86" s="46"/>
    </row>
    <row r="87" spans="1:15" ht="57" customHeight="1" x14ac:dyDescent="0.2">
      <c r="A87" s="403" t="e">
        <f>_xlfn.IFNA(VLOOKUP(Disaggregation_1A!#REF!,#REF!,5,FALSE)," ")</f>
        <v>#REF!</v>
      </c>
      <c r="B87" s="396"/>
      <c r="C87" s="46"/>
      <c r="D87" s="46"/>
      <c r="E87" s="46"/>
      <c r="F87" s="46"/>
      <c r="G87" s="46"/>
      <c r="H87" s="46"/>
      <c r="I87" s="46"/>
      <c r="J87" s="46"/>
      <c r="K87" s="46"/>
    </row>
    <row r="88" spans="1:15" ht="57" customHeight="1" x14ac:dyDescent="0.2">
      <c r="A88" s="403" t="e">
        <f>_xlfn.IFNA(VLOOKUP(Disaggregation_1A!#REF!,#REF!,5,FALSE)," ")</f>
        <v>#REF!</v>
      </c>
      <c r="B88" s="396"/>
      <c r="C88" s="46"/>
      <c r="D88" s="46"/>
      <c r="E88" s="46"/>
      <c r="F88" s="46"/>
      <c r="G88" s="46"/>
      <c r="H88" s="46"/>
      <c r="I88" s="46"/>
      <c r="J88" s="46"/>
      <c r="K88" s="46"/>
    </row>
    <row r="89" spans="1:15" ht="57" customHeight="1" x14ac:dyDescent="0.2">
      <c r="A89" s="403" t="e">
        <f>_xlfn.IFNA(VLOOKUP(Disaggregation_1A!#REF!,#REF!,5,FALSE)," ")</f>
        <v>#REF!</v>
      </c>
      <c r="B89" s="396"/>
      <c r="C89" s="46"/>
      <c r="D89" s="46"/>
      <c r="E89" s="46"/>
      <c r="F89" s="46"/>
      <c r="G89" s="46"/>
      <c r="H89" s="46"/>
      <c r="I89" s="46"/>
      <c r="J89" s="46"/>
      <c r="K89" s="46"/>
    </row>
    <row r="90" spans="1:15" ht="57" customHeight="1" x14ac:dyDescent="0.2">
      <c r="A90" s="403" t="e">
        <f>_xlfn.IFNA(VLOOKUP(Disaggregation_1A!#REF!,#REF!,5,FALSE)," ")</f>
        <v>#REF!</v>
      </c>
      <c r="B90" s="396"/>
      <c r="C90" s="46"/>
      <c r="D90" s="46"/>
      <c r="E90" s="46"/>
      <c r="F90" s="46"/>
      <c r="G90" s="46"/>
      <c r="H90" s="46"/>
      <c r="I90" s="46"/>
      <c r="J90" s="46"/>
      <c r="K90" s="46"/>
    </row>
    <row r="91" spans="1:15" ht="57" customHeight="1" x14ac:dyDescent="0.2">
      <c r="A91" s="403" t="e">
        <f>_xlfn.IFNA(VLOOKUP(Disaggregation_1A!#REF!,#REF!,5,FALSE)," ")</f>
        <v>#REF!</v>
      </c>
      <c r="B91" s="396"/>
      <c r="C91" s="46"/>
      <c r="D91" s="46"/>
      <c r="E91" s="46"/>
      <c r="F91" s="46"/>
      <c r="G91" s="46"/>
      <c r="H91" s="46"/>
      <c r="I91" s="46"/>
      <c r="J91" s="46"/>
      <c r="K91" s="46"/>
    </row>
    <row r="92" spans="1:15" ht="57" customHeight="1" x14ac:dyDescent="0.2">
      <c r="A92" s="403" t="e">
        <f>_xlfn.IFNA(VLOOKUP(Disaggregation_1A!#REF!,#REF!,5,FALSE)," ")</f>
        <v>#REF!</v>
      </c>
      <c r="B92" s="396"/>
      <c r="C92" s="46"/>
      <c r="D92" s="46"/>
      <c r="E92" s="46"/>
      <c r="F92" s="46"/>
      <c r="G92" s="46"/>
      <c r="H92" s="46"/>
      <c r="I92" s="46"/>
      <c r="J92" s="46"/>
      <c r="K92" s="46"/>
    </row>
    <row r="93" spans="1:15" ht="57" customHeight="1" x14ac:dyDescent="0.2">
      <c r="A93" s="403" t="e">
        <f>_xlfn.IFNA(VLOOKUP(Disaggregation_1A!#REF!,#REF!,5,FALSE)," ")</f>
        <v>#REF!</v>
      </c>
      <c r="B93" s="396"/>
      <c r="C93" s="46"/>
      <c r="D93" s="46"/>
      <c r="E93" s="46"/>
      <c r="F93" s="46"/>
      <c r="G93" s="46"/>
      <c r="H93" s="46"/>
      <c r="I93" s="46"/>
      <c r="J93" s="46"/>
      <c r="K93" s="46"/>
    </row>
    <row r="94" spans="1:15" ht="57" customHeight="1" x14ac:dyDescent="0.2">
      <c r="A94" s="403" t="e">
        <f>_xlfn.IFNA(VLOOKUP(Disaggregation_1A!#REF!,#REF!,5,FALSE)," ")</f>
        <v>#REF!</v>
      </c>
      <c r="B94" s="396"/>
      <c r="C94" s="46"/>
      <c r="D94" s="46"/>
      <c r="E94" s="46"/>
      <c r="F94" s="46"/>
      <c r="G94" s="46"/>
      <c r="H94" s="46"/>
      <c r="I94" s="46"/>
      <c r="J94" s="46"/>
      <c r="K94" s="46"/>
    </row>
    <row r="95" spans="1:15" ht="57" customHeight="1" x14ac:dyDescent="0.2">
      <c r="A95" s="403" t="e">
        <f>_xlfn.IFNA(VLOOKUP(Disaggregation_1A!#REF!,#REF!,5,FALSE)," ")</f>
        <v>#REF!</v>
      </c>
      <c r="B95" s="396"/>
      <c r="C95" s="46"/>
      <c r="D95" s="46"/>
      <c r="E95" s="46"/>
      <c r="F95" s="46"/>
      <c r="G95" s="46"/>
      <c r="H95" s="46"/>
      <c r="I95" s="46"/>
      <c r="J95" s="46"/>
      <c r="K95" s="46"/>
    </row>
    <row r="96" spans="1:15" ht="57" customHeight="1" x14ac:dyDescent="0.2">
      <c r="A96" s="403" t="e">
        <f>_xlfn.IFNA(VLOOKUP(Disaggregation_1A!#REF!,#REF!,5,FALSE)," ")</f>
        <v>#REF!</v>
      </c>
      <c r="B96" s="396"/>
      <c r="C96" s="46"/>
      <c r="D96" s="46"/>
      <c r="E96" s="46"/>
      <c r="F96" s="46"/>
      <c r="G96" s="46"/>
      <c r="H96" s="46"/>
      <c r="I96" s="46"/>
      <c r="J96" s="46"/>
      <c r="K96" s="46"/>
    </row>
    <row r="97" spans="1:11" ht="57" customHeight="1" x14ac:dyDescent="0.2">
      <c r="A97" s="403" t="e">
        <f>_xlfn.IFNA(VLOOKUP(Disaggregation_1A!#REF!,#REF!,5,FALSE)," ")</f>
        <v>#REF!</v>
      </c>
      <c r="B97" s="396"/>
      <c r="C97" s="46"/>
      <c r="D97" s="46"/>
      <c r="E97" s="46"/>
      <c r="F97" s="46"/>
      <c r="G97" s="46"/>
      <c r="H97" s="46"/>
      <c r="I97" s="46"/>
      <c r="J97" s="46"/>
      <c r="K97" s="46"/>
    </row>
    <row r="98" spans="1:11" ht="57" customHeight="1" x14ac:dyDescent="0.2">
      <c r="A98" s="403" t="e">
        <f>_xlfn.IFNA(VLOOKUP(Disaggregation_1A!#REF!,#REF!,5,FALSE)," ")</f>
        <v>#REF!</v>
      </c>
      <c r="B98" s="396"/>
      <c r="C98" s="46"/>
      <c r="D98" s="46"/>
      <c r="E98" s="46"/>
      <c r="F98" s="46"/>
      <c r="G98" s="46"/>
      <c r="H98" s="46"/>
      <c r="I98" s="46"/>
      <c r="J98" s="46"/>
      <c r="K98" s="46"/>
    </row>
    <row r="99" spans="1:11" ht="57" customHeight="1" x14ac:dyDescent="0.2">
      <c r="A99" s="403" t="e">
        <f>_xlfn.IFNA(VLOOKUP(Disaggregation_1A!#REF!,#REF!,5,FALSE)," ")</f>
        <v>#REF!</v>
      </c>
      <c r="B99" s="396"/>
      <c r="C99" s="46"/>
      <c r="D99" s="46"/>
      <c r="E99" s="46"/>
      <c r="F99" s="46"/>
      <c r="G99" s="46"/>
      <c r="H99" s="46"/>
      <c r="I99" s="46"/>
      <c r="J99" s="46"/>
      <c r="K99" s="46"/>
    </row>
    <row r="100" spans="1:11" ht="57" customHeight="1" x14ac:dyDescent="0.2">
      <c r="A100" s="403" t="e">
        <f>_xlfn.IFNA(VLOOKUP(Disaggregation_1A!#REF!,#REF!,5,FALSE)," ")</f>
        <v>#REF!</v>
      </c>
      <c r="B100" s="396"/>
      <c r="C100" s="46"/>
      <c r="D100" s="46"/>
      <c r="E100" s="46"/>
      <c r="F100" s="46"/>
      <c r="G100" s="46"/>
      <c r="H100" s="46"/>
      <c r="I100" s="46"/>
      <c r="J100" s="46"/>
      <c r="K100" s="46"/>
    </row>
    <row r="101" spans="1:11" ht="57" customHeight="1" x14ac:dyDescent="0.2">
      <c r="A101" s="403" t="e">
        <f>_xlfn.IFNA(VLOOKUP(Disaggregation_1A!#REF!,#REF!,5,FALSE)," ")</f>
        <v>#REF!</v>
      </c>
      <c r="B101" s="396"/>
      <c r="C101" s="46"/>
      <c r="D101" s="46"/>
      <c r="E101" s="46"/>
      <c r="F101" s="46"/>
      <c r="G101" s="46"/>
      <c r="H101" s="46"/>
      <c r="I101" s="46"/>
      <c r="J101" s="46"/>
      <c r="K101" s="46"/>
    </row>
    <row r="102" spans="1:11" x14ac:dyDescent="0.2">
      <c r="A102" s="145" t="e">
        <f>_xlfn.IFNA(VLOOKUP(Disaggregation_1A!#REF!,#REF!,5,FALSE)," ")</f>
        <v>#REF!</v>
      </c>
    </row>
    <row r="103" spans="1:11" x14ac:dyDescent="0.2">
      <c r="A103" s="145" t="e">
        <f>_xlfn.IFNA(VLOOKUP(Disaggregation_1A!#REF!,#REF!,5,FALSE)," ")</f>
        <v>#REF!</v>
      </c>
    </row>
    <row r="104" spans="1:11" x14ac:dyDescent="0.2">
      <c r="A104" s="145" t="e">
        <f>_xlfn.IFNA(VLOOKUP(Disaggregation_1A!#REF!,#REF!,5,FALSE)," ")</f>
        <v>#REF!</v>
      </c>
    </row>
    <row r="105" spans="1:11" x14ac:dyDescent="0.2">
      <c r="A105" s="145" t="e">
        <f>_xlfn.IFNA(VLOOKUP(Disaggregation_1A!#REF!,#REF!,5,FALSE)," ")</f>
        <v>#REF!</v>
      </c>
    </row>
    <row r="106" spans="1:11" x14ac:dyDescent="0.2">
      <c r="A106" s="145" t="e">
        <f>_xlfn.IFNA(VLOOKUP(Disaggregation_1A!#REF!,#REF!,5,FALSE)," ")</f>
        <v>#REF!</v>
      </c>
    </row>
    <row r="107" spans="1:11" x14ac:dyDescent="0.2">
      <c r="A107" s="145" t="e">
        <f>_xlfn.IFNA(VLOOKUP(Disaggregation_1A!#REF!,#REF!,5,FALSE)," ")</f>
        <v>#REF!</v>
      </c>
    </row>
    <row r="108" spans="1:11" x14ac:dyDescent="0.2">
      <c r="A108" s="145" t="e">
        <f>_xlfn.IFNA(VLOOKUP(Disaggregation_1A!#REF!,#REF!,5,FALSE)," ")</f>
        <v>#REF!</v>
      </c>
    </row>
    <row r="109" spans="1:11" x14ac:dyDescent="0.2">
      <c r="A109" s="145" t="e">
        <f>_xlfn.IFNA(VLOOKUP(Disaggregation_1A!#REF!,#REF!,5,FALSE)," ")</f>
        <v>#REF!</v>
      </c>
    </row>
    <row r="110" spans="1:11" x14ac:dyDescent="0.2">
      <c r="A110" s="145" t="e">
        <f>_xlfn.IFNA(VLOOKUP(Disaggregation_1A!#REF!,#REF!,5,FALSE)," ")</f>
        <v>#REF!</v>
      </c>
    </row>
    <row r="111" spans="1:11" x14ac:dyDescent="0.2">
      <c r="A111" s="145" t="e">
        <f>_xlfn.IFNA(VLOOKUP(Disaggregation_1A!#REF!,#REF!,5,FALSE)," ")</f>
        <v>#REF!</v>
      </c>
    </row>
    <row r="112" spans="1:11" x14ac:dyDescent="0.2">
      <c r="A112" s="145" t="e">
        <f>_xlfn.IFNA(VLOOKUP(Disaggregation_1A!#REF!,#REF!,5,FALSE)," ")</f>
        <v>#REF!</v>
      </c>
    </row>
    <row r="113" spans="1:1" x14ac:dyDescent="0.2">
      <c r="A113" s="145" t="e">
        <f>_xlfn.IFNA(VLOOKUP(Disaggregation_1A!#REF!,#REF!,5,FALSE)," ")</f>
        <v>#REF!</v>
      </c>
    </row>
    <row r="114" spans="1:1" x14ac:dyDescent="0.2">
      <c r="A114" s="145" t="e">
        <f>_xlfn.IFNA(VLOOKUP(Disaggregation_1A!#REF!,#REF!,5,FALSE)," ")</f>
        <v>#REF!</v>
      </c>
    </row>
    <row r="115" spans="1:1" x14ac:dyDescent="0.2">
      <c r="A115" s="145" t="e">
        <f>_xlfn.IFNA(VLOOKUP(Disaggregation_1A!#REF!,#REF!,5,FALSE)," ")</f>
        <v>#REF!</v>
      </c>
    </row>
    <row r="116" spans="1:1" x14ac:dyDescent="0.2">
      <c r="A116" s="145" t="e">
        <f>_xlfn.IFNA(VLOOKUP(Disaggregation_1A!#REF!,#REF!,5,FALSE)," ")</f>
        <v>#REF!</v>
      </c>
    </row>
    <row r="117" spans="1:1" x14ac:dyDescent="0.2">
      <c r="A117" s="145" t="e">
        <f>_xlfn.IFNA(VLOOKUP(Disaggregation_1A!#REF!,#REF!,5,FALSE)," ")</f>
        <v>#REF!</v>
      </c>
    </row>
    <row r="118" spans="1:1" x14ac:dyDescent="0.2">
      <c r="A118" s="145" t="e">
        <f>_xlfn.IFNA(VLOOKUP(Disaggregation_1A!#REF!,#REF!,5,FALSE)," ")</f>
        <v>#REF!</v>
      </c>
    </row>
    <row r="119" spans="1:1" x14ac:dyDescent="0.2">
      <c r="A119" s="145" t="e">
        <f>_xlfn.IFNA(VLOOKUP(Disaggregation_1A!#REF!,#REF!,5,FALSE)," ")</f>
        <v>#REF!</v>
      </c>
    </row>
    <row r="120" spans="1:1" x14ac:dyDescent="0.2">
      <c r="A120" s="145" t="e">
        <f>_xlfn.IFNA(VLOOKUP(Disaggregation_1A!#REF!,#REF!,5,FALSE)," ")</f>
        <v>#REF!</v>
      </c>
    </row>
    <row r="121" spans="1:1" x14ac:dyDescent="0.2">
      <c r="A121" s="145" t="e">
        <f>_xlfn.IFNA(VLOOKUP(Disaggregation_1A!#REF!,#REF!,5,FALSE)," ")</f>
        <v>#REF!</v>
      </c>
    </row>
    <row r="122" spans="1:1" x14ac:dyDescent="0.2">
      <c r="A122" s="145" t="e">
        <f>_xlfn.IFNA(VLOOKUP(Disaggregation_1A!#REF!,#REF!,5,FALSE)," ")</f>
        <v>#REF!</v>
      </c>
    </row>
    <row r="123" spans="1:1" x14ac:dyDescent="0.2">
      <c r="A123" s="145" t="e">
        <f>_xlfn.IFNA(VLOOKUP(Disaggregation_1A!#REF!,#REF!,5,FALSE)," ")</f>
        <v>#REF!</v>
      </c>
    </row>
    <row r="124" spans="1:1" x14ac:dyDescent="0.2">
      <c r="A124" s="145" t="e">
        <f>_xlfn.IFNA(VLOOKUP(Disaggregation_1A!#REF!,#REF!,5,FALSE)," ")</f>
        <v>#REF!</v>
      </c>
    </row>
    <row r="125" spans="1:1" x14ac:dyDescent="0.2">
      <c r="A125" s="145" t="e">
        <f>_xlfn.IFNA(VLOOKUP(Disaggregation_1A!#REF!,#REF!,5,FALSE)," ")</f>
        <v>#REF!</v>
      </c>
    </row>
    <row r="126" spans="1:1" x14ac:dyDescent="0.2">
      <c r="A126" s="145" t="e">
        <f>_xlfn.IFNA(VLOOKUP(Disaggregation_1A!#REF!,#REF!,5,FALSE)," ")</f>
        <v>#REF!</v>
      </c>
    </row>
    <row r="127" spans="1:1" x14ac:dyDescent="0.2">
      <c r="A127" s="145" t="e">
        <f>_xlfn.IFNA(VLOOKUP(Disaggregation_1A!#REF!,#REF!,5,FALSE)," ")</f>
        <v>#REF!</v>
      </c>
    </row>
    <row r="128" spans="1:1" x14ac:dyDescent="0.2">
      <c r="A128" s="145" t="e">
        <f>_xlfn.IFNA(VLOOKUP(Disaggregation_1A!#REF!,#REF!,5,FALSE)," ")</f>
        <v>#REF!</v>
      </c>
    </row>
    <row r="129" spans="1:1" x14ac:dyDescent="0.2">
      <c r="A129" s="145" t="e">
        <f>_xlfn.IFNA(VLOOKUP(Disaggregation_1A!#REF!,#REF!,5,FALSE)," ")</f>
        <v>#REF!</v>
      </c>
    </row>
    <row r="130" spans="1:1" x14ac:dyDescent="0.2">
      <c r="A130" s="145" t="e">
        <f>_xlfn.IFNA(VLOOKUP(Disaggregation_1A!#REF!,#REF!,5,FALSE)," ")</f>
        <v>#REF!</v>
      </c>
    </row>
    <row r="131" spans="1:1" x14ac:dyDescent="0.2">
      <c r="A131" s="145" t="e">
        <f>_xlfn.IFNA(VLOOKUP(Disaggregation_1A!#REF!,#REF!,5,FALSE)," ")</f>
        <v>#REF!</v>
      </c>
    </row>
    <row r="132" spans="1:1" x14ac:dyDescent="0.2">
      <c r="A132" s="145" t="e">
        <f>_xlfn.IFNA(VLOOKUP(Disaggregation_1A!#REF!,#REF!,5,FALSE)," ")</f>
        <v>#REF!</v>
      </c>
    </row>
    <row r="133" spans="1:1" x14ac:dyDescent="0.2">
      <c r="A133" s="145" t="e">
        <f>_xlfn.IFNA(VLOOKUP(Disaggregation_1A!#REF!,#REF!,5,FALSE)," ")</f>
        <v>#REF!</v>
      </c>
    </row>
    <row r="134" spans="1:1" x14ac:dyDescent="0.2">
      <c r="A134" s="145" t="e">
        <f>_xlfn.IFNA(VLOOKUP(Disaggregation_1A!#REF!,#REF!,5,FALSE)," ")</f>
        <v>#REF!</v>
      </c>
    </row>
    <row r="135" spans="1:1" x14ac:dyDescent="0.2">
      <c r="A135" s="145" t="e">
        <f>_xlfn.IFNA(VLOOKUP(Disaggregation_1A!#REF!,#REF!,5,FALSE)," ")</f>
        <v>#REF!</v>
      </c>
    </row>
    <row r="136" spans="1:1" x14ac:dyDescent="0.2">
      <c r="A136" s="145" t="e">
        <f>_xlfn.IFNA(VLOOKUP(Disaggregation_1A!#REF!,#REF!,5,FALSE)," ")</f>
        <v>#REF!</v>
      </c>
    </row>
    <row r="137" spans="1:1" x14ac:dyDescent="0.2">
      <c r="A137" s="145" t="e">
        <f>_xlfn.IFNA(VLOOKUP(Disaggregation_1A!#REF!,#REF!,5,FALSE)," ")</f>
        <v>#REF!</v>
      </c>
    </row>
    <row r="138" spans="1:1" x14ac:dyDescent="0.2">
      <c r="A138" s="145" t="e">
        <f>_xlfn.IFNA(VLOOKUP(Disaggregation_1A!#REF!,#REF!,5,FALSE)," ")</f>
        <v>#REF!</v>
      </c>
    </row>
    <row r="139" spans="1:1" x14ac:dyDescent="0.2">
      <c r="A139" s="145" t="e">
        <f>_xlfn.IFNA(VLOOKUP(Disaggregation_1A!#REF!,#REF!,5,FALSE)," ")</f>
        <v>#REF!</v>
      </c>
    </row>
    <row r="140" spans="1:1" x14ac:dyDescent="0.2">
      <c r="A140" s="145" t="e">
        <f>_xlfn.IFNA(VLOOKUP(Disaggregation_1A!#REF!,#REF!,5,FALSE)," ")</f>
        <v>#REF!</v>
      </c>
    </row>
    <row r="141" spans="1:1" x14ac:dyDescent="0.2">
      <c r="A141" s="145" t="e">
        <f>_xlfn.IFNA(VLOOKUP(Disaggregation_1A!#REF!,#REF!,5,FALSE)," ")</f>
        <v>#REF!</v>
      </c>
    </row>
    <row r="142" spans="1:1" x14ac:dyDescent="0.2">
      <c r="A142" s="145" t="e">
        <f>_xlfn.IFNA(VLOOKUP(Disaggregation_1A!#REF!,#REF!,5,FALSE)," ")</f>
        <v>#REF!</v>
      </c>
    </row>
    <row r="143" spans="1:1" x14ac:dyDescent="0.2">
      <c r="A143" s="145" t="e">
        <f>_xlfn.IFNA(VLOOKUP(Disaggregation_1A!#REF!,#REF!,5,FALSE)," ")</f>
        <v>#REF!</v>
      </c>
    </row>
    <row r="144" spans="1:1" x14ac:dyDescent="0.2">
      <c r="A144" s="145" t="e">
        <f>_xlfn.IFNA(VLOOKUP(Disaggregation_1A!#REF!,#REF!,5,FALSE)," ")</f>
        <v>#REF!</v>
      </c>
    </row>
    <row r="145" spans="1:1" x14ac:dyDescent="0.2">
      <c r="A145" s="145" t="e">
        <f>_xlfn.IFNA(VLOOKUP(Disaggregation_1A!#REF!,#REF!,5,FALSE)," ")</f>
        <v>#REF!</v>
      </c>
    </row>
    <row r="146" spans="1:1" x14ac:dyDescent="0.2">
      <c r="A146" s="145" t="e">
        <f>_xlfn.IFNA(VLOOKUP(Disaggregation_1A!#REF!,#REF!,5,FALSE)," ")</f>
        <v>#REF!</v>
      </c>
    </row>
    <row r="147" spans="1:1" x14ac:dyDescent="0.2">
      <c r="A147" s="145" t="e">
        <f>_xlfn.IFNA(VLOOKUP(Disaggregation_1A!#REF!,#REF!,5,FALSE)," ")</f>
        <v>#REF!</v>
      </c>
    </row>
    <row r="148" spans="1:1" x14ac:dyDescent="0.2">
      <c r="A148" s="145" t="e">
        <f>_xlfn.IFNA(VLOOKUP(Disaggregation_1A!#REF!,#REF!,5,FALSE)," ")</f>
        <v>#REF!</v>
      </c>
    </row>
    <row r="149" spans="1:1" x14ac:dyDescent="0.2">
      <c r="A149" s="145" t="e">
        <f>_xlfn.IFNA(VLOOKUP(Disaggregation_1A!#REF!,#REF!,5,FALSE)," ")</f>
        <v>#REF!</v>
      </c>
    </row>
    <row r="150" spans="1:1" x14ac:dyDescent="0.2">
      <c r="A150" s="145" t="e">
        <f>_xlfn.IFNA(VLOOKUP(Disaggregation_1A!#REF!,#REF!,5,FALSE)," ")</f>
        <v>#REF!</v>
      </c>
    </row>
    <row r="151" spans="1:1" x14ac:dyDescent="0.2">
      <c r="A151" s="145" t="e">
        <f>_xlfn.IFNA(VLOOKUP(Disaggregation_1A!#REF!,#REF!,5,FALSE)," ")</f>
        <v>#REF!</v>
      </c>
    </row>
    <row r="152" spans="1:1" x14ac:dyDescent="0.2">
      <c r="A152" s="145" t="e">
        <f>_xlfn.IFNA(VLOOKUP(Disaggregation_1A!#REF!,#REF!,5,FALSE)," ")</f>
        <v>#REF!</v>
      </c>
    </row>
    <row r="153" spans="1:1" x14ac:dyDescent="0.2">
      <c r="A153" s="145" t="e">
        <f>_xlfn.IFNA(VLOOKUP(Disaggregation_1A!#REF!,#REF!,5,FALSE)," ")</f>
        <v>#REF!</v>
      </c>
    </row>
    <row r="154" spans="1:1" x14ac:dyDescent="0.2">
      <c r="A154" s="145" t="e">
        <f>_xlfn.IFNA(VLOOKUP(Disaggregation_1A!#REF!,#REF!,5,FALSE)," ")</f>
        <v>#REF!</v>
      </c>
    </row>
    <row r="155" spans="1:1" x14ac:dyDescent="0.2">
      <c r="A155" s="145" t="e">
        <f>_xlfn.IFNA(VLOOKUP(Disaggregation_1A!#REF!,#REF!,5,FALSE)," ")</f>
        <v>#REF!</v>
      </c>
    </row>
    <row r="156" spans="1:1" x14ac:dyDescent="0.2">
      <c r="A156" s="145" t="e">
        <f>_xlfn.IFNA(VLOOKUP(Disaggregation_1A!#REF!,#REF!,5,FALSE)," ")</f>
        <v>#REF!</v>
      </c>
    </row>
    <row r="157" spans="1:1" x14ac:dyDescent="0.2">
      <c r="A157" s="145" t="e">
        <f>_xlfn.IFNA(VLOOKUP(Disaggregation_1A!#REF!,#REF!,5,FALSE)," ")</f>
        <v>#REF!</v>
      </c>
    </row>
    <row r="158" spans="1:1" x14ac:dyDescent="0.2">
      <c r="A158" s="145" t="e">
        <f>_xlfn.IFNA(VLOOKUP(Disaggregation_1A!#REF!,#REF!,5,FALSE)," ")</f>
        <v>#REF!</v>
      </c>
    </row>
    <row r="159" spans="1:1" x14ac:dyDescent="0.2">
      <c r="A159" s="145" t="e">
        <f>_xlfn.IFNA(VLOOKUP(Disaggregation_1A!#REF!,#REF!,5,FALSE)," ")</f>
        <v>#REF!</v>
      </c>
    </row>
    <row r="160" spans="1:1" x14ac:dyDescent="0.2">
      <c r="A160" s="145" t="e">
        <f>_xlfn.IFNA(VLOOKUP(Disaggregation_1A!#REF!,#REF!,5,FALSE)," ")</f>
        <v>#REF!</v>
      </c>
    </row>
    <row r="161" spans="1:1" x14ac:dyDescent="0.2">
      <c r="A161" s="145" t="e">
        <f>_xlfn.IFNA(VLOOKUP(Disaggregation_1A!#REF!,#REF!,5,FALSE)," ")</f>
        <v>#REF!</v>
      </c>
    </row>
    <row r="162" spans="1:1" x14ac:dyDescent="0.2">
      <c r="A162" s="145" t="e">
        <f>_xlfn.IFNA(VLOOKUP(Disaggregation_1A!#REF!,#REF!,5,FALSE)," ")</f>
        <v>#REF!</v>
      </c>
    </row>
    <row r="163" spans="1:1" x14ac:dyDescent="0.2">
      <c r="A163" s="145" t="e">
        <f>_xlfn.IFNA(VLOOKUP(Disaggregation_1A!#REF!,#REF!,5,FALSE)," ")</f>
        <v>#REF!</v>
      </c>
    </row>
    <row r="164" spans="1:1" x14ac:dyDescent="0.2">
      <c r="A164" s="145" t="e">
        <f>_xlfn.IFNA(VLOOKUP(Disaggregation_1A!#REF!,#REF!,5,FALSE)," ")</f>
        <v>#REF!</v>
      </c>
    </row>
    <row r="165" spans="1:1" x14ac:dyDescent="0.2">
      <c r="A165" s="145" t="e">
        <f>_xlfn.IFNA(VLOOKUP(Disaggregation_1A!#REF!,#REF!,5,FALSE)," ")</f>
        <v>#REF!</v>
      </c>
    </row>
    <row r="166" spans="1:1" x14ac:dyDescent="0.2">
      <c r="A166" s="145" t="e">
        <f>_xlfn.IFNA(VLOOKUP(Disaggregation_1A!#REF!,#REF!,5,FALSE)," ")</f>
        <v>#REF!</v>
      </c>
    </row>
    <row r="167" spans="1:1" x14ac:dyDescent="0.2">
      <c r="A167" s="145" t="e">
        <f>_xlfn.IFNA(VLOOKUP(Disaggregation_1A!#REF!,#REF!,5,FALSE)," ")</f>
        <v>#REF!</v>
      </c>
    </row>
    <row r="168" spans="1:1" x14ac:dyDescent="0.2">
      <c r="A168" s="145" t="e">
        <f>_xlfn.IFNA(VLOOKUP(Disaggregation_1A!#REF!,#REF!,5,FALSE)," ")</f>
        <v>#REF!</v>
      </c>
    </row>
    <row r="169" spans="1:1" x14ac:dyDescent="0.2">
      <c r="A169" s="145" t="e">
        <f>_xlfn.IFNA(VLOOKUP(Disaggregation_1A!#REF!,#REF!,5,FALSE)," ")</f>
        <v>#REF!</v>
      </c>
    </row>
    <row r="170" spans="1:1" x14ac:dyDescent="0.2">
      <c r="A170" s="145" t="e">
        <f>_xlfn.IFNA(VLOOKUP(Disaggregation_1A!#REF!,#REF!,5,FALSE)," ")</f>
        <v>#REF!</v>
      </c>
    </row>
    <row r="171" spans="1:1" x14ac:dyDescent="0.2">
      <c r="A171" s="145" t="e">
        <f>_xlfn.IFNA(VLOOKUP(Disaggregation_1A!#REF!,#REF!,5,FALSE)," ")</f>
        <v>#REF!</v>
      </c>
    </row>
    <row r="172" spans="1:1" x14ac:dyDescent="0.2">
      <c r="A172" s="145" t="e">
        <f>_xlfn.IFNA(VLOOKUP(Disaggregation_1A!#REF!,#REF!,5,FALSE)," ")</f>
        <v>#REF!</v>
      </c>
    </row>
    <row r="173" spans="1:1" x14ac:dyDescent="0.2">
      <c r="A173" s="145" t="e">
        <f>_xlfn.IFNA(VLOOKUP(Disaggregation_1A!#REF!,#REF!,5,FALSE)," ")</f>
        <v>#REF!</v>
      </c>
    </row>
    <row r="174" spans="1:1" x14ac:dyDescent="0.2">
      <c r="A174" s="145" t="e">
        <f>_xlfn.IFNA(VLOOKUP(Disaggregation_1A!#REF!,#REF!,5,FALSE)," ")</f>
        <v>#REF!</v>
      </c>
    </row>
    <row r="175" spans="1:1" x14ac:dyDescent="0.2">
      <c r="A175" s="145" t="e">
        <f>_xlfn.IFNA(VLOOKUP(Disaggregation_1A!#REF!,#REF!,5,FALSE)," ")</f>
        <v>#REF!</v>
      </c>
    </row>
    <row r="176" spans="1:1" x14ac:dyDescent="0.2">
      <c r="A176" s="145" t="e">
        <f>_xlfn.IFNA(VLOOKUP(Disaggregation_1A!#REF!,#REF!,5,FALSE)," ")</f>
        <v>#REF!</v>
      </c>
    </row>
    <row r="177" spans="1:1" x14ac:dyDescent="0.2">
      <c r="A177" s="145" t="e">
        <f>_xlfn.IFNA(VLOOKUP(Disaggregation_1A!#REF!,#REF!,5,FALSE)," ")</f>
        <v>#REF!</v>
      </c>
    </row>
    <row r="178" spans="1:1" x14ac:dyDescent="0.2">
      <c r="A178" s="145" t="e">
        <f>_xlfn.IFNA(VLOOKUP(Disaggregation_1A!#REF!,#REF!,5,FALSE)," ")</f>
        <v>#REF!</v>
      </c>
    </row>
    <row r="179" spans="1:1" x14ac:dyDescent="0.2">
      <c r="A179" s="145" t="e">
        <f>_xlfn.IFNA(VLOOKUP(Disaggregation_1A!#REF!,#REF!,5,FALSE)," ")</f>
        <v>#REF!</v>
      </c>
    </row>
    <row r="180" spans="1:1" x14ac:dyDescent="0.2">
      <c r="A180" s="145" t="e">
        <f>_xlfn.IFNA(VLOOKUP(Disaggregation_1A!#REF!,#REF!,5,FALSE)," ")</f>
        <v>#REF!</v>
      </c>
    </row>
    <row r="181" spans="1:1" x14ac:dyDescent="0.2">
      <c r="A181" s="145" t="e">
        <f>_xlfn.IFNA(VLOOKUP(Disaggregation_1A!#REF!,#REF!,5,FALSE)," ")</f>
        <v>#REF!</v>
      </c>
    </row>
    <row r="182" spans="1:1" x14ac:dyDescent="0.2">
      <c r="A182" s="145" t="e">
        <f>_xlfn.IFNA(VLOOKUP(Disaggregation_1A!#REF!,#REF!,5,FALSE)," ")</f>
        <v>#REF!</v>
      </c>
    </row>
    <row r="183" spans="1:1" x14ac:dyDescent="0.2">
      <c r="A183" s="145" t="e">
        <f>_xlfn.IFNA(VLOOKUP(Disaggregation_1A!#REF!,#REF!,5,FALSE)," ")</f>
        <v>#REF!</v>
      </c>
    </row>
    <row r="184" spans="1:1" x14ac:dyDescent="0.2">
      <c r="A184" s="145" t="e">
        <f>_xlfn.IFNA(VLOOKUP(Disaggregation_1A!#REF!,#REF!,5,FALSE)," ")</f>
        <v>#REF!</v>
      </c>
    </row>
    <row r="185" spans="1:1" x14ac:dyDescent="0.2">
      <c r="A185" s="145" t="e">
        <f>_xlfn.IFNA(VLOOKUP(Disaggregation_1A!#REF!,#REF!,5,FALSE)," ")</f>
        <v>#REF!</v>
      </c>
    </row>
  </sheetData>
  <sheetProtection algorithmName="SHA-512" hashValue="gvlt8FbcNKTjFJXLQIiFt8gCfpMXwosP/N7YAtVN0UiH0wbIdd/2pmTXLgCUs6NQ0tlGSxQbIoHQMJUaRZ6cwg==" saltValue="eGixHwHFb/ui4bxooohDjA==" spinCount="100000" sheet="1" objects="1" scenarios="1" formatColumns="0" formatRows="0" sort="0" autoFilter="0"/>
  <autoFilter ref="A8:Q1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autoFilter>
  <dataConsolidate link="1"/>
  <mergeCells count="17">
    <mergeCell ref="D5:D6"/>
    <mergeCell ref="N13:N14"/>
    <mergeCell ref="A8:N8"/>
    <mergeCell ref="N5:N6"/>
    <mergeCell ref="P5:P6"/>
    <mergeCell ref="O4:P4"/>
    <mergeCell ref="O5:O6"/>
    <mergeCell ref="L4:N4"/>
    <mergeCell ref="L5:M5"/>
    <mergeCell ref="I5:J5"/>
    <mergeCell ref="A4:K4"/>
    <mergeCell ref="A5:A6"/>
    <mergeCell ref="B5:B6"/>
    <mergeCell ref="C5:C6"/>
    <mergeCell ref="E5:G5"/>
    <mergeCell ref="K5:K6"/>
    <mergeCell ref="H5:H6"/>
  </mergeCells>
  <dataValidations count="10">
    <dataValidation type="list" allowBlank="1" showInputMessage="1" showErrorMessage="1" sqref="B61:B224">
      <formula1>ImpOutIndicatorChoice</formula1>
    </dataValidation>
    <dataValidation type="list" allowBlank="1" showInputMessage="1" showErrorMessage="1" sqref="C61:C155 D61:D206">
      <formula1>INDIRECT(#REF!)</formula1>
    </dataValidation>
    <dataValidation allowBlank="1" showInputMessage="1" showErrorMessage="1" prompt="If you select &quot;Other - specify&quot; please enter the category in the Comments column" sqref="D5:D6"/>
    <dataValidation type="list" allowBlank="1" showInputMessage="1" showErrorMessage="1" sqref="G61:H61 M61 J61">
      <formula1>#REF!</formula1>
    </dataValidation>
    <dataValidation type="list" allowBlank="1" showInputMessage="1" showErrorMessage="1" errorTitle="X-Author for Excel" error="Please select a value from the drop-down." promptTitle="X-Author for Excel" sqref="F9:F1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Result Value (PR) is -9999999999 to 9999999999." promptTitle="X-Author for Excel" sqref="I9:I10">
      <formula1>-9999999999</formula1>
      <formula2>9999999999</formula2>
    </dataValidation>
    <dataValidation type="list" allowBlank="1" showInputMessage="1" showErrorMessage="1" errorTitle="X-Author for Excel" error="Please select a value from the drop-down." promptTitle="X-Author for Excel" sqref="J9:J10">
      <formula1>IF(IFERROR(ROWS(INDIRECT(SUBSTITUTE("AIM_Outcome_Disaggregation_Results__c.AIM_Result_Source_PR__c"," ","_"))),-1) &lt; 0, XAuthorInvalidPicklistData,INDIRECT(SUBSTITUTE("AIM_Outcome_Disaggregation_Results__c.AIM_Result_Source_PR__c"," ","_")))</formula1>
    </dataValidation>
    <dataValidation type="decimal" allowBlank="1" showInputMessage="1" showErrorMessage="1" errorTitle="X-Author for Excel" error="Please enter a valid numeric value. Valid range for Verified Result Value (LFA) is -9999999999 to 9999999999." promptTitle="X-Author for Excel" sqref="L9:L10">
      <formula1>-9999999999</formula1>
      <formula2>9999999999</formula2>
    </dataValidation>
    <dataValidation type="list" allowBlank="1" showInputMessage="1" showErrorMessage="1" errorTitle="X-Author for Excel" error="Please select a value from the drop-down." promptTitle="X-Author for Excel" sqref="M9:M10">
      <formula1>IF(IFERROR(ROWS(INDIRECT(SUBSTITUTE("AIM_Outcome_Disaggregation_Results__c.AIM_Verified_Result_Source_LFA__c"," ","_"))),-1) &lt; 0, XAuthorInvalidPicklistData,INDIRECT(SUBSTITUTE("AIM_Outcome_Disaggregation_Results__c.AIM_Verified_Result_Source_LFA__c"," ","_")))</formula1>
    </dataValidation>
    <dataValidation type="custom" allowBlank="1" showInputMessage="1" showErrorMessage="1" errorTitle="X-Author for Excel" error="Id and Lookup fields are not editable." promptTitle="X-Author for Excel" sqref="Q9:Q10">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24" orientation="landscape" r:id="rId1"/>
  <headerFooter>
    <oddFooter>&amp;L&amp;A&amp;R&amp;P</oddFooter>
  </headerFooter>
  <rowBreaks count="2" manualBreakCount="2">
    <brk id="15" max="20" man="1"/>
    <brk id="25" max="20" man="1"/>
  </rowBreaks>
  <colBreaks count="1" manualBreakCount="1">
    <brk id="1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FF00"/>
  </sheetPr>
  <dimension ref="A1:AM27"/>
  <sheetViews>
    <sheetView showGridLines="0" view="pageBreakPreview" topLeftCell="N2" zoomScale="110" zoomScaleNormal="70" zoomScaleSheetLayoutView="110" workbookViewId="0">
      <selection activeCell="Q11" sqref="Q11"/>
    </sheetView>
  </sheetViews>
  <sheetFormatPr defaultColWidth="9.140625" defaultRowHeight="12.75" x14ac:dyDescent="0.2"/>
  <cols>
    <col min="1" max="1" width="37.85546875" style="8" customWidth="1"/>
    <col min="2" max="2" width="43.85546875" style="8" customWidth="1"/>
    <col min="3" max="3" width="30.5703125" style="8" customWidth="1"/>
    <col min="4" max="4" width="26.140625" style="8" customWidth="1"/>
    <col min="5" max="5" width="15.140625" style="8" customWidth="1"/>
    <col min="6" max="9" width="13" style="8" customWidth="1"/>
    <col min="10" max="10" width="21.5703125" style="8" customWidth="1"/>
    <col min="11" max="13" width="13" style="8" customWidth="1"/>
    <col min="14" max="14" width="17.5703125" style="8" customWidth="1"/>
    <col min="15" max="16" width="18.5703125" style="8" customWidth="1"/>
    <col min="17" max="17" width="18.140625" style="8" customWidth="1"/>
    <col min="18" max="18" width="13" style="374" customWidth="1"/>
    <col min="19" max="19" width="63.42578125" style="8" customWidth="1"/>
    <col min="20" max="22" width="13.5703125" style="8" customWidth="1"/>
    <col min="23" max="23" width="20.42578125" style="8" customWidth="1"/>
    <col min="24" max="24" width="12.85546875" style="374" customWidth="1"/>
    <col min="25" max="25" width="14.140625" style="8" customWidth="1"/>
    <col min="26" max="26" width="68.5703125" style="8" customWidth="1"/>
    <col min="27" max="29" width="14.140625" style="8" hidden="1" customWidth="1"/>
    <col min="30" max="30" width="12.85546875" style="374" hidden="1" customWidth="1"/>
    <col min="31" max="33" width="13.140625" style="8" hidden="1" customWidth="1"/>
    <col min="34" max="35" width="9.140625" style="8" hidden="1" customWidth="1"/>
    <col min="36" max="36" width="9.140625" style="369" hidden="1" customWidth="1"/>
    <col min="37" max="37" width="0.140625" style="369" customWidth="1"/>
    <col min="38" max="38" width="0.42578125" style="8" customWidth="1"/>
    <col min="39" max="39" width="9.140625" style="388"/>
    <col min="40" max="16384" width="9.140625" style="14"/>
  </cols>
  <sheetData>
    <row r="1" spans="1:38" ht="25.5" customHeight="1" x14ac:dyDescent="0.2">
      <c r="A1" s="1428" t="str">
        <f>IF(CoverSheet!J12="N/A","Progress Report","Progress Report with Disbursement Request")</f>
        <v>Progress Report with Disbursement Request</v>
      </c>
      <c r="B1" s="1428"/>
      <c r="C1" s="1428"/>
      <c r="D1" s="1428"/>
      <c r="E1" s="1428"/>
      <c r="F1" s="1428"/>
      <c r="G1" s="1428"/>
      <c r="H1" s="1428"/>
      <c r="I1" s="1428"/>
      <c r="J1" s="1428"/>
      <c r="R1" s="404"/>
      <c r="S1" s="386"/>
      <c r="T1" s="386"/>
      <c r="U1" s="7"/>
      <c r="V1" s="7"/>
    </row>
    <row r="2" spans="1:38" ht="23.25" x14ac:dyDescent="0.2">
      <c r="A2" s="405"/>
      <c r="B2" s="401"/>
      <c r="C2" s="401"/>
      <c r="R2" s="404"/>
      <c r="T2" s="386"/>
      <c r="U2" s="7"/>
      <c r="V2" s="7"/>
    </row>
    <row r="3" spans="1:38" ht="17.25" hidden="1" customHeight="1" x14ac:dyDescent="0.2">
      <c r="A3" s="406"/>
      <c r="B3" s="406"/>
      <c r="C3" s="407" t="s">
        <v>95</v>
      </c>
      <c r="D3" s="407" t="s">
        <v>96</v>
      </c>
      <c r="E3" s="407" t="s">
        <v>97</v>
      </c>
      <c r="F3" s="407"/>
      <c r="G3" s="407"/>
      <c r="R3" s="404"/>
      <c r="S3" s="407" t="s">
        <v>96</v>
      </c>
      <c r="T3" s="386"/>
      <c r="U3" s="7"/>
      <c r="V3" s="7"/>
      <c r="Y3" s="387"/>
    </row>
    <row r="4" spans="1:38" ht="17.25" hidden="1" customHeight="1" x14ac:dyDescent="0.2">
      <c r="A4" s="406"/>
      <c r="B4" s="329" t="e">
        <f>IF('Impact Outcome Indicators_1A'!#REF!=""," ",'Impact Outcome Indicators_1A'!#REF!)</f>
        <v>#REF!</v>
      </c>
      <c r="R4" s="404"/>
      <c r="T4" s="386"/>
      <c r="U4" s="7"/>
      <c r="V4" s="7"/>
      <c r="Y4" s="387"/>
    </row>
    <row r="5" spans="1:38" ht="32.25" customHeight="1" x14ac:dyDescent="0.2">
      <c r="A5" s="12" t="s">
        <v>168</v>
      </c>
      <c r="B5" s="387"/>
      <c r="C5" s="387"/>
      <c r="D5" s="387"/>
      <c r="E5" s="387"/>
      <c r="F5" s="387"/>
      <c r="G5" s="387"/>
      <c r="H5" s="387"/>
      <c r="I5" s="387"/>
      <c r="J5" s="387"/>
      <c r="K5" s="387"/>
      <c r="L5" s="387"/>
      <c r="M5" s="387"/>
      <c r="N5" s="387"/>
      <c r="O5" s="387"/>
      <c r="P5" s="387"/>
      <c r="Q5" s="387"/>
      <c r="R5" s="387"/>
      <c r="S5" s="387"/>
      <c r="T5" s="387"/>
      <c r="U5" s="387"/>
      <c r="V5" s="387"/>
      <c r="W5" s="387"/>
      <c r="X5" s="387"/>
      <c r="Y5" s="408"/>
      <c r="Z5" s="90"/>
      <c r="AA5" s="90"/>
      <c r="AB5" s="90"/>
      <c r="AC5" s="90"/>
      <c r="AD5" s="387"/>
      <c r="AE5" s="90"/>
      <c r="AF5" s="90"/>
      <c r="AG5" s="90"/>
      <c r="AH5" s="90"/>
      <c r="AI5" s="90"/>
      <c r="AJ5" s="509"/>
    </row>
    <row r="6" spans="1:38" ht="40.5" customHeight="1" thickBot="1" x14ac:dyDescent="0.25">
      <c r="A6" s="903" t="s">
        <v>545</v>
      </c>
      <c r="B6" s="17"/>
      <c r="C6" s="17"/>
      <c r="D6" s="13"/>
      <c r="E6" s="13"/>
      <c r="F6" s="13"/>
      <c r="G6" s="13"/>
      <c r="H6" s="14"/>
      <c r="I6" s="14"/>
      <c r="J6" s="14"/>
      <c r="K6" s="14"/>
      <c r="L6" s="14"/>
      <c r="M6" s="14"/>
      <c r="N6" s="14"/>
      <c r="O6" s="14"/>
      <c r="P6" s="14"/>
      <c r="Q6" s="14"/>
      <c r="R6" s="404"/>
      <c r="S6" s="13"/>
      <c r="T6" s="14"/>
      <c r="U6" s="10"/>
      <c r="V6" s="10"/>
      <c r="W6" s="14"/>
      <c r="X6" s="404"/>
      <c r="Y6" s="404"/>
      <c r="Z6" s="14"/>
      <c r="AA6" s="14"/>
      <c r="AB6" s="14"/>
      <c r="AC6" s="14"/>
      <c r="AD6" s="404"/>
      <c r="AE6" s="14"/>
      <c r="AF6" s="14"/>
      <c r="AG6" s="14"/>
      <c r="AH6" s="14"/>
      <c r="AI6" s="14"/>
    </row>
    <row r="7" spans="1:38" ht="27.75" customHeight="1" thickBot="1" x14ac:dyDescent="0.25">
      <c r="A7" s="1431" t="s">
        <v>172</v>
      </c>
      <c r="B7" s="1432"/>
      <c r="C7" s="1432"/>
      <c r="D7" s="1432"/>
      <c r="E7" s="1432"/>
      <c r="F7" s="1432"/>
      <c r="G7" s="1432"/>
      <c r="H7" s="1432"/>
      <c r="I7" s="1432"/>
      <c r="J7" s="1432"/>
      <c r="K7" s="1432"/>
      <c r="L7" s="1432"/>
      <c r="M7" s="1432"/>
      <c r="N7" s="1432"/>
      <c r="O7" s="1432"/>
      <c r="P7" s="1432"/>
      <c r="Q7" s="1432"/>
      <c r="R7" s="1432"/>
      <c r="S7" s="1432"/>
      <c r="T7" s="1426"/>
      <c r="U7" s="1426"/>
      <c r="V7" s="1426"/>
      <c r="W7" s="1426"/>
      <c r="X7" s="1426"/>
      <c r="Y7" s="1426"/>
      <c r="Z7" s="1426"/>
      <c r="AA7" s="1426" t="s">
        <v>101</v>
      </c>
      <c r="AB7" s="1426"/>
      <c r="AC7" s="1426"/>
      <c r="AD7" s="1426"/>
      <c r="AE7" s="1426"/>
      <c r="AF7" s="1426"/>
      <c r="AG7" s="1426"/>
      <c r="AH7" s="1426"/>
      <c r="AI7" s="1427"/>
      <c r="AJ7" s="413"/>
      <c r="AK7" s="413"/>
      <c r="AL7" s="389"/>
    </row>
    <row r="8" spans="1:38" ht="48.75" customHeight="1" x14ac:dyDescent="0.2">
      <c r="A8" s="1429" t="s">
        <v>69</v>
      </c>
      <c r="B8" s="1382" t="s">
        <v>535</v>
      </c>
      <c r="C8" s="1382" t="s">
        <v>536</v>
      </c>
      <c r="D8" s="422" t="s">
        <v>216</v>
      </c>
      <c r="E8" s="1382" t="s">
        <v>61</v>
      </c>
      <c r="F8" s="1382" t="s">
        <v>58</v>
      </c>
      <c r="G8" s="1382"/>
      <c r="H8" s="1382"/>
      <c r="I8" s="1421"/>
      <c r="J8" s="1422"/>
      <c r="K8" s="1382" t="s">
        <v>91</v>
      </c>
      <c r="L8" s="1382"/>
      <c r="M8" s="1382"/>
      <c r="N8" s="1382" t="s">
        <v>232</v>
      </c>
      <c r="O8" s="1382"/>
      <c r="P8" s="1382"/>
      <c r="Q8" s="1382"/>
      <c r="R8" s="1382" t="s">
        <v>236</v>
      </c>
      <c r="S8" s="1382" t="s">
        <v>226</v>
      </c>
      <c r="T8" s="1380" t="s">
        <v>13</v>
      </c>
      <c r="U8" s="1380"/>
      <c r="V8" s="1380"/>
      <c r="W8" s="1380"/>
      <c r="X8" s="1380" t="s">
        <v>236</v>
      </c>
      <c r="Y8" s="1425" t="s">
        <v>24</v>
      </c>
      <c r="Z8" s="1380" t="s">
        <v>227</v>
      </c>
      <c r="AA8" s="1423" t="s">
        <v>207</v>
      </c>
      <c r="AB8" s="1423"/>
      <c r="AC8" s="1423"/>
      <c r="AD8" s="1423" t="s">
        <v>236</v>
      </c>
      <c r="AE8" s="1423" t="s">
        <v>208</v>
      </c>
      <c r="AF8" s="1423"/>
      <c r="AG8" s="1423"/>
      <c r="AH8" s="1423"/>
      <c r="AI8" s="1423"/>
      <c r="AJ8" s="388"/>
      <c r="AK8" s="388"/>
      <c r="AL8" s="390"/>
    </row>
    <row r="9" spans="1:38" ht="74.25" customHeight="1" x14ac:dyDescent="0.2">
      <c r="A9" s="1430"/>
      <c r="B9" s="1420"/>
      <c r="C9" s="1420"/>
      <c r="D9" s="1219" t="s">
        <v>359</v>
      </c>
      <c r="E9" s="1420"/>
      <c r="F9" s="1190" t="s">
        <v>95</v>
      </c>
      <c r="G9" s="1190" t="s">
        <v>96</v>
      </c>
      <c r="H9" s="1190" t="s">
        <v>97</v>
      </c>
      <c r="I9" s="1190" t="s">
        <v>323</v>
      </c>
      <c r="J9" s="1190" t="s">
        <v>358</v>
      </c>
      <c r="K9" s="1190" t="s">
        <v>95</v>
      </c>
      <c r="L9" s="1190" t="s">
        <v>96</v>
      </c>
      <c r="M9" s="1190" t="s">
        <v>97</v>
      </c>
      <c r="N9" s="1190" t="s">
        <v>95</v>
      </c>
      <c r="O9" s="1190" t="s">
        <v>96</v>
      </c>
      <c r="P9" s="1190" t="s">
        <v>97</v>
      </c>
      <c r="Q9" s="1190" t="s">
        <v>358</v>
      </c>
      <c r="R9" s="1383"/>
      <c r="S9" s="1420"/>
      <c r="T9" s="1220" t="s">
        <v>95</v>
      </c>
      <c r="U9" s="1220" t="s">
        <v>96</v>
      </c>
      <c r="V9" s="1220" t="s">
        <v>97</v>
      </c>
      <c r="W9" s="1220" t="s">
        <v>358</v>
      </c>
      <c r="X9" s="1381"/>
      <c r="Y9" s="1381"/>
      <c r="Z9" s="1381"/>
      <c r="AA9" s="1221" t="s">
        <v>95</v>
      </c>
      <c r="AB9" s="1221" t="s">
        <v>96</v>
      </c>
      <c r="AC9" s="1221" t="s">
        <v>97</v>
      </c>
      <c r="AD9" s="1424"/>
      <c r="AE9" s="1424"/>
      <c r="AF9" s="1424"/>
      <c r="AG9" s="1424"/>
      <c r="AH9" s="1424"/>
      <c r="AI9" s="1424"/>
      <c r="AJ9" s="527" t="s">
        <v>356</v>
      </c>
      <c r="AK9" s="388"/>
      <c r="AL9" s="390"/>
    </row>
    <row r="10" spans="1:38" ht="31.35" hidden="1" customHeight="1" x14ac:dyDescent="0.2">
      <c r="A10" s="1192" t="s">
        <v>314</v>
      </c>
      <c r="B10" s="1191" t="s">
        <v>315</v>
      </c>
      <c r="C10" s="1214" t="s">
        <v>316</v>
      </c>
      <c r="D10" s="1191" t="s">
        <v>317</v>
      </c>
      <c r="E10" s="1214" t="s">
        <v>318</v>
      </c>
      <c r="F10" s="1222" t="s">
        <v>319</v>
      </c>
      <c r="G10" s="1222" t="s">
        <v>320</v>
      </c>
      <c r="H10" s="1223" t="s">
        <v>321</v>
      </c>
      <c r="I10" s="1214" t="s">
        <v>322</v>
      </c>
      <c r="J10" s="1224" t="s">
        <v>307</v>
      </c>
      <c r="K10" s="1222" t="s">
        <v>324</v>
      </c>
      <c r="L10" s="1222" t="s">
        <v>325</v>
      </c>
      <c r="M10" s="1223" t="s">
        <v>326</v>
      </c>
      <c r="N10" s="1225" t="s">
        <v>327</v>
      </c>
      <c r="O10" s="1225" t="s">
        <v>328</v>
      </c>
      <c r="P10" s="1226" t="str">
        <f>IFERROR((N10/O10)*100,"")</f>
        <v/>
      </c>
      <c r="Q10" s="1198" t="s">
        <v>295</v>
      </c>
      <c r="R10" s="1227" t="str">
        <f>IFERROR(IF(AND(K10&lt;&gt;"",L10="",N10&lt;&gt;"",O10=""),IF((N10/K10)&gt;120%,120%,(N10/K10)),IF((P10/M10)&gt;120%,120%,(P10/M10)))," ")</f>
        <v xml:space="preserve"> </v>
      </c>
      <c r="S10" s="1186" t="s">
        <v>296</v>
      </c>
      <c r="T10" s="1228" t="s">
        <v>329</v>
      </c>
      <c r="U10" s="1228" t="s">
        <v>330</v>
      </c>
      <c r="V10" s="1226" t="str">
        <f>IFERROR((T10/U10)*100,"")</f>
        <v/>
      </c>
      <c r="W10" s="1198" t="s">
        <v>299</v>
      </c>
      <c r="X10" s="1227" t="str">
        <f>IFERROR(IF(AND(K10&lt;&gt;"",L10="",T10&lt;&gt;"",U10=""),IF((T10/K10)&gt;120%,120%,(T10/K10)),IF((V10/M10)&gt;120%,120%,(V10/M10)))," ")</f>
        <v xml:space="preserve"> </v>
      </c>
      <c r="Y10" s="1225" t="s">
        <v>297</v>
      </c>
      <c r="Z10" s="1186" t="s">
        <v>300</v>
      </c>
      <c r="AA10" s="1225" t="str">
        <f t="shared" ref="AA10:AB13" si="0">IF(T10="","",T10)</f>
        <v>[Verified Result N# (LFA)]</v>
      </c>
      <c r="AB10" s="1225" t="str">
        <f t="shared" si="0"/>
        <v>[Verified Result D# (LFA)]</v>
      </c>
      <c r="AC10" s="1229" t="str">
        <f>IFERROR(AA10/AB10,"")</f>
        <v/>
      </c>
      <c r="AD10" s="1230" t="str">
        <f>IFERROR(IF(AND(K10&lt;&gt;"",L10="",AA10&lt;&gt;"",AB10=""),IF((AA10/AB10)&gt;120%,120%,(AA10/K10)),IF((AB10/M10)&gt;120%,120%,(AC10/M10)))," ")</f>
        <v xml:space="preserve"> </v>
      </c>
      <c r="AE10" s="1419"/>
      <c r="AF10" s="1419"/>
      <c r="AG10" s="1419"/>
      <c r="AH10" s="1419"/>
      <c r="AI10" s="1419"/>
      <c r="AJ10" s="527" t="s">
        <v>355</v>
      </c>
      <c r="AK10" s="511"/>
      <c r="AL10" s="390"/>
    </row>
    <row r="11" spans="1:38" ht="64.5" customHeight="1" x14ac:dyDescent="0.2">
      <c r="A11" s="1192" t="s">
        <v>989</v>
      </c>
      <c r="B11" s="1191" t="s">
        <v>990</v>
      </c>
      <c r="C11" s="1214"/>
      <c r="D11" s="1191" t="s">
        <v>901</v>
      </c>
      <c r="E11" s="1214" t="s">
        <v>939</v>
      </c>
      <c r="F11" s="1222">
        <v>404</v>
      </c>
      <c r="G11" s="1222"/>
      <c r="H11" s="1223"/>
      <c r="I11" s="1214" t="s">
        <v>833</v>
      </c>
      <c r="J11" s="1224" t="s">
        <v>991</v>
      </c>
      <c r="K11" s="1222">
        <v>444</v>
      </c>
      <c r="L11" s="1222"/>
      <c r="M11" s="1223"/>
      <c r="N11" s="1225">
        <v>282</v>
      </c>
      <c r="O11" s="1225"/>
      <c r="P11" s="1226" t="str">
        <f>IFERROR((N11/O11)*100,"")</f>
        <v/>
      </c>
      <c r="Q11" s="1351" t="s">
        <v>991</v>
      </c>
      <c r="R11" s="1227">
        <f>IFERROR(IF(AND(K11&lt;&gt;"",L11="",N11&lt;&gt;"",O11=""),IF((N11/K11)&gt;120%,120%,(N11/K11)),IF((P11/M11)&gt;120%,120%,(P11/M11)))," ")</f>
        <v>0.63513513513513509</v>
      </c>
      <c r="S11" s="1186" t="s">
        <v>1626</v>
      </c>
      <c r="T11" s="1228"/>
      <c r="U11" s="1228"/>
      <c r="V11" s="1226" t="str">
        <f>IFERROR((T11/U11)*100,"")</f>
        <v/>
      </c>
      <c r="W11" s="1198"/>
      <c r="X11" s="1227" t="str">
        <f>IFERROR(IF(AND(K11&lt;&gt;"",L11="",T11&lt;&gt;"",U11=""),IF((T11/K11)&gt;120%,120%,(T11/K11)),IF((V11/M11)&gt;120%,120%,(V11/M11)))," ")</f>
        <v xml:space="preserve"> </v>
      </c>
      <c r="Y11" s="1225"/>
      <c r="Z11" s="1186"/>
      <c r="AA11" s="1225" t="str">
        <f t="shared" si="0"/>
        <v/>
      </c>
      <c r="AB11" s="1225" t="str">
        <f t="shared" si="0"/>
        <v/>
      </c>
      <c r="AC11" s="1229" t="str">
        <f>IFERROR(AA11/AB11,"")</f>
        <v/>
      </c>
      <c r="AD11" s="1230" t="str">
        <f>IFERROR(IF(AND(K11&lt;&gt;"",L11="",AA11&lt;&gt;"",AB11=""),IF((AA11/AB11)&gt;120%,120%,(AA11/K11)),IF((AB11/M11)&gt;120%,120%,(AC11/M11)))," ")</f>
        <v xml:space="preserve"> </v>
      </c>
      <c r="AE11" s="1231"/>
      <c r="AF11" s="1231"/>
      <c r="AG11" s="1231"/>
      <c r="AH11" s="1231"/>
      <c r="AI11" s="1231"/>
      <c r="AJ11" s="527" t="s">
        <v>992</v>
      </c>
      <c r="AK11" s="388"/>
      <c r="AL11" s="390"/>
    </row>
    <row r="12" spans="1:38" ht="49.5" customHeight="1" x14ac:dyDescent="0.2">
      <c r="A12" s="1192" t="s">
        <v>989</v>
      </c>
      <c r="B12" s="1191"/>
      <c r="C12" s="1214" t="s">
        <v>993</v>
      </c>
      <c r="D12" s="1191" t="s">
        <v>901</v>
      </c>
      <c r="E12" s="1214" t="s">
        <v>939</v>
      </c>
      <c r="F12" s="1222">
        <v>62</v>
      </c>
      <c r="G12" s="1222"/>
      <c r="H12" s="1223"/>
      <c r="I12" s="1214" t="s">
        <v>833</v>
      </c>
      <c r="J12" s="1224" t="s">
        <v>991</v>
      </c>
      <c r="K12" s="1222">
        <v>66</v>
      </c>
      <c r="L12" s="1222"/>
      <c r="M12" s="1223"/>
      <c r="N12" s="1225">
        <v>60</v>
      </c>
      <c r="O12" s="1225"/>
      <c r="P12" s="1226" t="str">
        <f>IFERROR((N12/O12)*100,"")</f>
        <v/>
      </c>
      <c r="Q12" s="1351" t="s">
        <v>991</v>
      </c>
      <c r="R12" s="1227">
        <f>IFERROR(IF(AND(K12&lt;&gt;"",L12="",N12&lt;&gt;"",O12=""),IF((N12/K12)&gt;120%,120%,(N12/K12)),IF((P12/M12)&gt;120%,120%,(P12/M12)))," ")</f>
        <v>0.90909090909090906</v>
      </c>
      <c r="S12" s="1186" t="s">
        <v>1627</v>
      </c>
      <c r="T12" s="1228"/>
      <c r="U12" s="1228"/>
      <c r="V12" s="1226" t="str">
        <f>IFERROR((T12/U12)*100,"")</f>
        <v/>
      </c>
      <c r="W12" s="1198"/>
      <c r="X12" s="1227" t="str">
        <f>IFERROR(IF(AND(K12&lt;&gt;"",L12="",T12&lt;&gt;"",U12=""),IF((T12/K12)&gt;120%,120%,(T12/K12)),IF((V12/M12)&gt;120%,120%,(V12/M12)))," ")</f>
        <v xml:space="preserve"> </v>
      </c>
      <c r="Y12" s="1225"/>
      <c r="Z12" s="1186"/>
      <c r="AA12" s="1225" t="str">
        <f t="shared" si="0"/>
        <v/>
      </c>
      <c r="AB12" s="1225" t="str">
        <f t="shared" si="0"/>
        <v/>
      </c>
      <c r="AC12" s="1229" t="str">
        <f>IFERROR(AA12/AB12,"")</f>
        <v/>
      </c>
      <c r="AD12" s="1230" t="str">
        <f>IFERROR(IF(AND(K12&lt;&gt;"",L12="",AA12&lt;&gt;"",AB12=""),IF((AA12/AB12)&gt;120%,120%,(AA12/K12)),IF((AB12/M12)&gt;120%,120%,(AC12/M12)))," ")</f>
        <v xml:space="preserve"> </v>
      </c>
      <c r="AE12" s="1231"/>
      <c r="AF12" s="1231"/>
      <c r="AG12" s="1231"/>
      <c r="AH12" s="1231"/>
      <c r="AI12" s="1231"/>
      <c r="AJ12" s="527" t="s">
        <v>994</v>
      </c>
      <c r="AK12" s="388"/>
      <c r="AL12" s="390"/>
    </row>
    <row r="13" spans="1:38" ht="63" customHeight="1" x14ac:dyDescent="0.2">
      <c r="A13" s="1192" t="s">
        <v>989</v>
      </c>
      <c r="B13" s="1191"/>
      <c r="C13" s="1214" t="s">
        <v>995</v>
      </c>
      <c r="D13" s="1191" t="s">
        <v>901</v>
      </c>
      <c r="E13" s="1214" t="s">
        <v>939</v>
      </c>
      <c r="F13" s="1222">
        <v>1926</v>
      </c>
      <c r="G13" s="1222">
        <v>2681</v>
      </c>
      <c r="H13" s="1223">
        <v>71.8</v>
      </c>
      <c r="I13" s="1214" t="s">
        <v>833</v>
      </c>
      <c r="J13" s="1224" t="s">
        <v>991</v>
      </c>
      <c r="K13" s="1222">
        <v>1860</v>
      </c>
      <c r="L13" s="1222">
        <v>2481</v>
      </c>
      <c r="M13" s="1223">
        <v>75</v>
      </c>
      <c r="N13" s="1225">
        <v>1945</v>
      </c>
      <c r="O13" s="1225">
        <v>2047</v>
      </c>
      <c r="P13" s="1226">
        <f>IFERROR((N13/O13)*100,"")</f>
        <v>95.017098192476794</v>
      </c>
      <c r="Q13" s="1351" t="s">
        <v>991</v>
      </c>
      <c r="R13" s="1227">
        <f>IFERROR(IF(AND(K13&lt;&gt;"",L13="",N13&lt;&gt;"",O13=""),IF((N13/K13)&gt;120%,120%,(N13/K13)),IF((P13/M13)&gt;120%,120%,(P13/M13)))," ")</f>
        <v>1.2</v>
      </c>
      <c r="S13" s="1186" t="s">
        <v>1628</v>
      </c>
      <c r="T13" s="1228"/>
      <c r="U13" s="1228"/>
      <c r="V13" s="1226" t="str">
        <f>IFERROR((T13/U13)*100,"")</f>
        <v/>
      </c>
      <c r="W13" s="1198"/>
      <c r="X13" s="1227" t="str">
        <f>IFERROR(IF(AND(K13&lt;&gt;"",L13="",T13&lt;&gt;"",U13=""),IF((T13/K13)&gt;120%,120%,(T13/K13)),IF((V13/M13)&gt;120%,120%,(V13/M13)))," ")</f>
        <v xml:space="preserve"> </v>
      </c>
      <c r="Y13" s="1225"/>
      <c r="Z13" s="1186"/>
      <c r="AA13" s="1225" t="str">
        <f t="shared" si="0"/>
        <v/>
      </c>
      <c r="AB13" s="1225" t="str">
        <f t="shared" si="0"/>
        <v/>
      </c>
      <c r="AC13" s="1229" t="str">
        <f>IFERROR(AA13/AB13,"")</f>
        <v/>
      </c>
      <c r="AD13" s="1230" t="str">
        <f>IFERROR(IF(AND(K13&lt;&gt;"",L13="",AA13&lt;&gt;"",AB13=""),IF((AA13/AB13)&gt;120%,120%,(AA13/K13)),IF((AB13/M13)&gt;120%,120%,(AC13/M13)))," ")</f>
        <v xml:space="preserve"> </v>
      </c>
      <c r="AE13" s="1231"/>
      <c r="AF13" s="1231"/>
      <c r="AG13" s="1231"/>
      <c r="AH13" s="1231"/>
      <c r="AI13" s="1231"/>
      <c r="AJ13" s="527" t="s">
        <v>996</v>
      </c>
      <c r="AK13" s="388"/>
      <c r="AL13" s="390"/>
    </row>
    <row r="14" spans="1:38" ht="2.4500000000000002" customHeight="1" thickBot="1" x14ac:dyDescent="0.25">
      <c r="A14" s="414"/>
      <c r="B14" s="415"/>
      <c r="C14" s="415"/>
      <c r="D14" s="415"/>
      <c r="E14" s="415"/>
      <c r="F14" s="415"/>
      <c r="G14" s="415"/>
      <c r="H14" s="415"/>
      <c r="I14" s="415"/>
      <c r="J14" s="415"/>
      <c r="K14" s="415"/>
      <c r="L14" s="415"/>
      <c r="M14" s="415"/>
      <c r="N14" s="415"/>
      <c r="O14" s="415"/>
      <c r="P14" s="415"/>
      <c r="Q14" s="415"/>
      <c r="R14" s="431"/>
      <c r="S14" s="415"/>
      <c r="T14" s="415"/>
      <c r="U14" s="415"/>
      <c r="V14" s="415"/>
      <c r="W14" s="415"/>
      <c r="X14" s="431"/>
      <c r="Y14" s="415"/>
      <c r="Z14" s="415"/>
      <c r="AA14" s="415"/>
      <c r="AB14" s="415"/>
      <c r="AC14" s="415"/>
      <c r="AD14" s="431"/>
      <c r="AE14" s="415"/>
      <c r="AF14" s="415"/>
      <c r="AG14" s="415"/>
      <c r="AH14" s="415"/>
      <c r="AI14" s="415"/>
      <c r="AJ14" s="416"/>
      <c r="AK14" s="416"/>
      <c r="AL14" s="417"/>
    </row>
    <row r="18" spans="19:38" x14ac:dyDescent="0.2">
      <c r="S18" s="14"/>
      <c r="T18" s="14"/>
      <c r="U18" s="14"/>
      <c r="V18" s="14"/>
      <c r="W18" s="14"/>
      <c r="X18" s="404"/>
      <c r="Y18" s="14"/>
      <c r="Z18" s="14"/>
      <c r="AA18" s="14"/>
      <c r="AB18" s="14"/>
      <c r="AC18" s="14"/>
      <c r="AD18" s="404"/>
      <c r="AE18" s="14"/>
      <c r="AF18" s="14"/>
      <c r="AG18" s="14"/>
      <c r="AH18" s="14"/>
      <c r="AI18" s="14"/>
      <c r="AJ18" s="388"/>
      <c r="AK18" s="388"/>
      <c r="AL18" s="14"/>
    </row>
    <row r="19" spans="19:38" x14ac:dyDescent="0.2">
      <c r="S19" s="14"/>
      <c r="T19" s="14"/>
      <c r="U19" s="14"/>
      <c r="V19" s="14"/>
      <c r="W19" s="14"/>
      <c r="X19" s="404"/>
      <c r="Y19" s="14"/>
      <c r="Z19" s="14"/>
      <c r="AA19" s="14"/>
      <c r="AB19" s="14"/>
      <c r="AC19" s="14"/>
      <c r="AD19" s="404"/>
      <c r="AE19" s="14"/>
      <c r="AF19" s="14"/>
      <c r="AG19" s="14"/>
      <c r="AH19" s="14"/>
      <c r="AI19" s="14"/>
      <c r="AJ19" s="388"/>
      <c r="AK19" s="388"/>
      <c r="AL19" s="14"/>
    </row>
    <row r="20" spans="19:38" x14ac:dyDescent="0.2">
      <c r="S20" s="14"/>
      <c r="T20" s="14"/>
      <c r="U20" s="14"/>
      <c r="V20" s="14"/>
      <c r="W20" s="14"/>
      <c r="X20" s="404"/>
      <c r="Y20" s="1418"/>
      <c r="Z20" s="1418"/>
      <c r="AA20" s="14"/>
      <c r="AB20" s="14"/>
      <c r="AC20" s="14"/>
      <c r="AD20" s="404"/>
      <c r="AE20" s="14"/>
      <c r="AF20" s="14"/>
      <c r="AG20" s="14"/>
      <c r="AH20" s="14"/>
      <c r="AI20" s="14"/>
      <c r="AJ20" s="388"/>
      <c r="AK20" s="388"/>
      <c r="AL20" s="14"/>
    </row>
    <row r="21" spans="19:38" x14ac:dyDescent="0.2">
      <c r="S21" s="14"/>
      <c r="T21" s="14"/>
      <c r="U21" s="14"/>
      <c r="V21" s="14"/>
      <c r="W21" s="14"/>
      <c r="X21" s="404"/>
      <c r="Y21" s="1418"/>
      <c r="Z21" s="1418"/>
      <c r="AA21" s="14"/>
      <c r="AB21" s="14"/>
      <c r="AC21" s="14"/>
      <c r="AD21" s="404"/>
      <c r="AE21" s="14"/>
      <c r="AF21" s="14"/>
      <c r="AG21" s="14"/>
      <c r="AH21" s="14"/>
      <c r="AI21" s="14"/>
      <c r="AJ21" s="388"/>
      <c r="AK21" s="388"/>
      <c r="AL21" s="14"/>
    </row>
    <row r="22" spans="19:38" x14ac:dyDescent="0.2">
      <c r="S22" s="14"/>
      <c r="T22" s="14"/>
      <c r="U22" s="14"/>
      <c r="V22" s="14"/>
      <c r="W22" s="14"/>
      <c r="X22" s="404"/>
      <c r="Y22" s="14"/>
      <c r="Z22" s="14"/>
      <c r="AA22" s="14"/>
      <c r="AB22" s="14"/>
      <c r="AC22" s="14"/>
      <c r="AD22" s="404"/>
      <c r="AE22" s="14"/>
      <c r="AF22" s="14"/>
      <c r="AG22" s="14"/>
      <c r="AH22" s="14"/>
      <c r="AI22" s="14"/>
      <c r="AJ22" s="388"/>
      <c r="AK22" s="388"/>
      <c r="AL22" s="14"/>
    </row>
    <row r="23" spans="19:38" x14ac:dyDescent="0.2">
      <c r="S23" s="14"/>
      <c r="T23" s="14"/>
      <c r="U23" s="14"/>
      <c r="V23" s="14"/>
      <c r="W23" s="14"/>
      <c r="X23" s="404"/>
      <c r="Y23" s="14"/>
      <c r="Z23" s="14"/>
      <c r="AA23" s="14"/>
      <c r="AB23" s="14"/>
      <c r="AC23" s="14"/>
      <c r="AD23" s="404"/>
      <c r="AE23" s="14"/>
      <c r="AF23" s="14"/>
      <c r="AG23" s="14"/>
      <c r="AH23" s="14"/>
      <c r="AI23" s="14"/>
      <c r="AJ23" s="388"/>
      <c r="AK23" s="388"/>
      <c r="AL23" s="14"/>
    </row>
    <row r="24" spans="19:38" x14ac:dyDescent="0.2">
      <c r="S24" s="14"/>
      <c r="T24" s="14"/>
      <c r="U24" s="14"/>
      <c r="V24" s="14"/>
      <c r="W24" s="14"/>
      <c r="X24" s="404"/>
      <c r="Y24" s="14"/>
      <c r="Z24" s="14"/>
      <c r="AA24" s="14"/>
      <c r="AB24" s="14"/>
      <c r="AC24" s="14"/>
      <c r="AD24" s="404"/>
      <c r="AE24" s="14"/>
      <c r="AF24" s="14"/>
      <c r="AG24" s="14"/>
      <c r="AH24" s="14"/>
      <c r="AI24" s="14"/>
      <c r="AJ24" s="388"/>
      <c r="AK24" s="388"/>
      <c r="AL24" s="14"/>
    </row>
    <row r="25" spans="19:38" ht="15" x14ac:dyDescent="0.2">
      <c r="S25" s="14"/>
      <c r="T25" s="962"/>
      <c r="U25" s="962"/>
      <c r="V25" s="963"/>
      <c r="W25" s="964"/>
      <c r="X25" s="965"/>
      <c r="Y25" s="966"/>
      <c r="Z25" s="967"/>
      <c r="AA25" s="14"/>
      <c r="AB25" s="14"/>
      <c r="AC25" s="14"/>
      <c r="AD25" s="404"/>
      <c r="AE25" s="14"/>
      <c r="AF25" s="14"/>
      <c r="AG25" s="14"/>
      <c r="AH25" s="14"/>
      <c r="AI25" s="14"/>
      <c r="AJ25" s="388"/>
      <c r="AK25" s="388"/>
      <c r="AL25" s="14"/>
    </row>
    <row r="26" spans="19:38" x14ac:dyDescent="0.2">
      <c r="S26" s="14"/>
      <c r="T26" s="14"/>
      <c r="U26" s="14"/>
      <c r="V26" s="14"/>
      <c r="W26" s="14"/>
      <c r="X26" s="404"/>
      <c r="Y26" s="14"/>
      <c r="Z26" s="14"/>
      <c r="AA26" s="14"/>
      <c r="AB26" s="14"/>
      <c r="AC26" s="14"/>
      <c r="AD26" s="404"/>
      <c r="AE26" s="14"/>
      <c r="AF26" s="14"/>
      <c r="AG26" s="14"/>
      <c r="AH26" s="14"/>
      <c r="AI26" s="14"/>
      <c r="AJ26" s="388"/>
      <c r="AK26" s="388"/>
      <c r="AL26" s="14"/>
    </row>
    <row r="27" spans="19:38" x14ac:dyDescent="0.2">
      <c r="S27" s="14"/>
      <c r="T27" s="14"/>
      <c r="U27" s="14"/>
      <c r="V27" s="14"/>
      <c r="W27" s="14"/>
      <c r="X27" s="404"/>
      <c r="Y27" s="14"/>
      <c r="Z27" s="14"/>
      <c r="AA27" s="14"/>
      <c r="AB27" s="14"/>
      <c r="AC27" s="14"/>
      <c r="AD27" s="404"/>
      <c r="AE27" s="14"/>
      <c r="AF27" s="14"/>
      <c r="AG27" s="14"/>
      <c r="AH27" s="14"/>
      <c r="AI27" s="14"/>
      <c r="AJ27" s="388"/>
      <c r="AK27" s="388"/>
      <c r="AL27" s="14"/>
    </row>
  </sheetData>
  <sheetProtection algorithmName="SHA-512" hashValue="ISERQBFFtOiU9S6IO4EhV3Xw4WoxDeevAU4D6lKlW/ypZ94wI/UXt7JNDLAehHt0r4396KN0a8yzho+fd9Dm+Q==" saltValue="OpeeLIn4JqPrApkpg4KQ1w==" spinCount="100000" sheet="1" objects="1" scenarios="1" formatColumns="0" formatRows="0" sort="0" autoFilter="0"/>
  <autoFilter ref="A8:AJ13">
    <filterColumn colId="5" showButton="0"/>
    <filterColumn colId="6" showButton="0"/>
    <filterColumn colId="7" showButton="0"/>
    <filterColumn colId="8" showButton="0"/>
    <filterColumn colId="10" showButton="0"/>
    <filterColumn colId="11" showButton="0"/>
    <filterColumn colId="13" showButton="0"/>
    <filterColumn colId="14" showButton="0"/>
    <filterColumn colId="15" showButton="0"/>
    <filterColumn colId="19" showButton="0"/>
    <filterColumn colId="20" showButton="0"/>
    <filterColumn colId="21" showButton="0"/>
    <filterColumn colId="26" showButton="0"/>
    <filterColumn colId="27" showButton="0"/>
    <filterColumn colId="30" showButton="0"/>
    <filterColumn colId="31" showButton="0"/>
    <filterColumn colId="32" showButton="0"/>
    <filterColumn colId="33" showButton="0"/>
  </autoFilter>
  <dataConsolidate link="1"/>
  <mergeCells count="23">
    <mergeCell ref="T7:Z7"/>
    <mergeCell ref="AA7:AI7"/>
    <mergeCell ref="A1:J1"/>
    <mergeCell ref="Z8:Z9"/>
    <mergeCell ref="C8:C9"/>
    <mergeCell ref="S8:S9"/>
    <mergeCell ref="R8:R9"/>
    <mergeCell ref="X8:X9"/>
    <mergeCell ref="K8:M8"/>
    <mergeCell ref="A8:A9"/>
    <mergeCell ref="B8:B9"/>
    <mergeCell ref="N8:Q8"/>
    <mergeCell ref="T8:W8"/>
    <mergeCell ref="A7:S7"/>
    <mergeCell ref="AA8:AC8"/>
    <mergeCell ref="AE8:AI9"/>
    <mergeCell ref="Y20:Y21"/>
    <mergeCell ref="Z20:Z21"/>
    <mergeCell ref="AE10:AI10"/>
    <mergeCell ref="E8:E9"/>
    <mergeCell ref="F8:J8"/>
    <mergeCell ref="AD8:AD9"/>
    <mergeCell ref="Y8:Y9"/>
  </mergeCells>
  <dataValidations count="19">
    <dataValidation type="list" allowBlank="1" showInputMessage="1" showErrorMessage="1" errorTitle="X-Author for Excel" error="Please select a value from the drop-down." promptTitle="X-Author for Excel" sqref="D10:D13">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E10:E13">
      <formula1>IF(IFERROR(ROWS(INDIRECT(SUBSTITUTE("AIM_Coverage_Indicator__c.AIM_Cumulation_Type__c"," ","_"))),-1) &lt; 0, XAuthorInvalidPicklistData,INDIRECT(SUBSTITUTE("AIM_Coverage_Indicator__c.AIM_Cumulation_Type__c"," ","_")))</formula1>
    </dataValidation>
    <dataValidation type="decimal" allowBlank="1" showInputMessage="1" showErrorMessage="1" errorTitle="X-Author for Excel" error="Please enter a valid numeric value. Valid range for Baseline N# is -9999999999 to 9999999999." promptTitle="X-Author for Excel" sqref="F10:F13">
      <formula1>-9999999999</formula1>
      <formula2>9999999999</formula2>
    </dataValidation>
    <dataValidation type="decimal" allowBlank="1" showInputMessage="1" showErrorMessage="1" errorTitle="X-Author for Excel" error="Please enter a valid numeric value. Valid range for Baseline D# is -9999999999 to 9999999999." promptTitle="X-Author for Excel" sqref="G10:G13">
      <formula1>-9999999999</formula1>
      <formula2>9999999999</formula2>
    </dataValidation>
    <dataValidation type="decimal" allowBlank="1" showInputMessage="1" showErrorMessage="1" errorTitle="X-Author for Excel" error="Please enter a valid numeric value. Valid range for Baseline % is -9999999999 to 9999999999." promptTitle="X-Author for Excel" sqref="H10:H13">
      <formula1>-9999999999</formula1>
      <formula2>9999999999</formula2>
    </dataValidation>
    <dataValidation type="list" allowBlank="1" showInputMessage="1" showErrorMessage="1" errorTitle="X-Author for Excel" error="Please select a value from the drop-down." promptTitle="X-Author for Excel" sqref="I10:I13">
      <formula1>IF(IFERROR(ROWS(INDIRECT(SUBSTITUTE("AIM_Coverage_Indicator__c.AIM_Year__c"," ","_"))),-1) &lt; 0, XAuthorInvalidPicklistData,INDIRECT(SUBSTITUTE("AIM_Coverage_Indicator__c.AIM_Year__c"," ","_")))</formula1>
    </dataValidation>
    <dataValidation type="decimal" allowBlank="1" showInputMessage="1" showErrorMessage="1" errorTitle="X-Author for Excel" error="Please enter a valid numeric value. Valid range for Target N# is -9999999999 to 9999999999." promptTitle="X-Author for Excel" sqref="K10:K13">
      <formula1>-9999999999</formula1>
      <formula2>9999999999</formula2>
    </dataValidation>
    <dataValidation type="decimal" allowBlank="1" showInputMessage="1" showErrorMessage="1" errorTitle="X-Author for Excel" error="Please enter a valid numeric value. Valid range for Target D# is -9999999999 to 9999999999." promptTitle="X-Author for Excel" sqref="L10:L13">
      <formula1>-9999999999</formula1>
      <formula2>9999999999</formula2>
    </dataValidation>
    <dataValidation type="decimal" allowBlank="1" showInputMessage="1" showErrorMessage="1" errorTitle="X-Author for Excel" error="Please enter a valid numeric value. Valid range for Target % is -999 to 999." promptTitle="X-Author for Excel" sqref="M10:M13">
      <formula1>-999</formula1>
      <formula2>999</formula2>
    </dataValidation>
    <dataValidation type="decimal" allowBlank="1" showInputMessage="1" showErrorMessage="1" errorTitle="X-Author for Excel" error="Please enter a valid numeric value. Valid range for Result N#  (PR) is -9999999999 to 9999999999." promptTitle="X-Author for Excel" sqref="N10:N13">
      <formula1>-9999999999</formula1>
      <formula2>9999999999</formula2>
    </dataValidation>
    <dataValidation type="decimal" allowBlank="1" showInputMessage="1" showErrorMessage="1" errorTitle="X-Author for Excel" error="Please enter a valid numeric value. Valid range for Result D# (PR) is -9999999999 to 9999999999." promptTitle="X-Author for Excel" sqref="O10:O13">
      <formula1>-9999999999</formula1>
      <formula2>9999999999</formula2>
    </dataValidation>
    <dataValidation type="decimal" allowBlank="1" showInputMessage="1" showErrorMessage="1" errorTitle="X-Author for Excel" error="Please enter a valid numeric value. Valid range for Result % (PR) is -999 to 999." promptTitle="X-Author for Excel" sqref="P10:P13">
      <formula1>-999</formula1>
      <formula2>999</formula2>
    </dataValidation>
    <dataValidation type="list" allowBlank="1" showInputMessage="1" showErrorMessage="1" errorTitle="X-Author for Excel" error="Please select a value from the drop-down." promptTitle="X-Author for Excel" sqref="Q10:Q13">
      <formula1>IF(IFERROR(ROWS(INDIRECT(SUBSTITUTE("AIM_Coverage_Indicator_Targets_Results__c.AIM_Data_Source_Result_PR__c"," ","_"))),-1) &lt; 0, XAuthorInvalidPicklistData,INDIRECT(SUBSTITUTE("AIM_Coverage_Indicator_Targets_Results__c.AIM_Data_Source_Result_PR__c"," ","_")))</formula1>
    </dataValidation>
    <dataValidation type="decimal" allowBlank="1" showInputMessage="1" showErrorMessage="1" errorTitle="X-Author for Excel" error="Please enter a valid numeric value. Valid range for Verified Result N# (LFA) is -9999999999 to 9999999999." promptTitle="X-Author for Excel" sqref="T10:T13">
      <formula1>-9999999999</formula1>
      <formula2>9999999999</formula2>
    </dataValidation>
    <dataValidation type="decimal" allowBlank="1" showInputMessage="1" showErrorMessage="1" errorTitle="X-Author for Excel" error="Please enter a valid numeric value. Valid range for Verified Result D# (LFA) is -9999999999 to 9999999999." promptTitle="X-Author for Excel" sqref="U10:U13">
      <formula1>-9999999999</formula1>
      <formula2>9999999999</formula2>
    </dataValidation>
    <dataValidation type="decimal" allowBlank="1" showInputMessage="1" showErrorMessage="1" errorTitle="X-Author for Excel" error="Please enter a valid numeric value. Valid range for Verified Result % (LFA) is -999 to 999." promptTitle="X-Author for Excel" sqref="V10:V13">
      <formula1>-999</formula1>
      <formula2>999</formula2>
    </dataValidation>
    <dataValidation type="list" allowBlank="1" showInputMessage="1" showErrorMessage="1" errorTitle="X-Author for Excel" error="Please select a value from the drop-down." promptTitle="X-Author for Excel" sqref="W10:W13">
      <formula1>IF(IFERROR(ROWS(INDIRECT(SUBSTITUTE("AIM_Coverage_Indicator_Targets_Results__c.AIM_Data_Source_Result_LFA__c"," ","_"))),-1) &lt; 0, XAuthorInvalidPicklistData,INDIRECT(SUBSTITUTE("AIM_Coverage_Indicator_Targets_Results__c.AIM_Data_Source_Result_LFA__c"," ","_")))</formula1>
    </dataValidation>
    <dataValidation type="list" allowBlank="1" showInputMessage="1" showErrorMessage="1" errorTitle="X-Author for Excel" error="Please select a value from the drop-down." promptTitle="X-Author for Excel" sqref="Y10:Y13">
      <formula1>IF(IFERROR(ROWS(INDIRECT(SUBSTITUTE("AIM_Coverage_Indicator_Targets_Results__c.AIM_Verification_Method_LFA__c"," ","_"))),-1) &lt; 0, XAuthorInvalidPicklistData,INDIRECT(SUBSTITUTE("AIM_Coverage_Indicator_Targets_Results__c.AIM_Verification_Method_LFA__c"," ","_")))</formula1>
    </dataValidation>
    <dataValidation type="custom" allowBlank="1" showInputMessage="1" showErrorMessage="1" errorTitle="X-Author for Excel" error="Id and Lookup fields are not editable." promptTitle="X-Author for Excel" sqref="AJ10:AJ13">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23" orientation="landscape" cellComments="asDisplayed" r:id="rId1"/>
  <headerFooter alignWithMargins="0">
    <oddFooter>&amp;L&amp;A&amp;R&amp;P</oddFooter>
  </headerFooter>
  <colBreaks count="1" manualBreakCount="1">
    <brk id="26" max="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FF00"/>
  </sheetPr>
  <dimension ref="A1:AQ25"/>
  <sheetViews>
    <sheetView showGridLines="0" view="pageBreakPreview" topLeftCell="B1" zoomScale="85" zoomScaleNormal="70" zoomScaleSheetLayoutView="85" workbookViewId="0">
      <selection activeCell="M10" sqref="M10"/>
    </sheetView>
  </sheetViews>
  <sheetFormatPr defaultColWidth="9.140625" defaultRowHeight="12.75" x14ac:dyDescent="0.2"/>
  <cols>
    <col min="1" max="1" width="27.140625" style="100" customWidth="1"/>
    <col min="2" max="2" width="40.85546875" style="94" customWidth="1"/>
    <col min="3" max="3" width="21.42578125" style="94" customWidth="1"/>
    <col min="4" max="4" width="0.42578125" style="94" hidden="1" customWidth="1"/>
    <col min="5" max="5" width="18.42578125" style="100" customWidth="1"/>
    <col min="6" max="7" width="15.85546875" style="149" customWidth="1"/>
    <col min="8" max="8" width="16.5703125" style="149" customWidth="1"/>
    <col min="9" max="9" width="11.85546875" style="149" customWidth="1"/>
    <col min="10" max="10" width="18.85546875" style="149" customWidth="1"/>
    <col min="11" max="11" width="20.85546875" style="149" customWidth="1"/>
    <col min="12" max="13" width="19.85546875" style="149" customWidth="1"/>
    <col min="14" max="14" width="15" style="149" customWidth="1"/>
    <col min="15" max="15" width="55.140625" style="94" customWidth="1"/>
    <col min="16" max="16" width="20.5703125" style="149" bestFit="1" customWidth="1"/>
    <col min="17" max="17" width="20.42578125" style="149" bestFit="1" customWidth="1"/>
    <col min="18" max="18" width="20.42578125" style="149" customWidth="1"/>
    <col min="19" max="19" width="15" style="149" bestFit="1" customWidth="1"/>
    <col min="20" max="20" width="56.85546875" style="94" customWidth="1"/>
    <col min="21" max="21" width="18.85546875" style="94" hidden="1" customWidth="1"/>
    <col min="22" max="22" width="72.140625" style="94" hidden="1" customWidth="1"/>
    <col min="23" max="24" width="27.140625" style="366" hidden="1" customWidth="1"/>
    <col min="25" max="25" width="0.42578125" style="94" customWidth="1"/>
    <col min="26" max="26" width="27.140625" style="438" customWidth="1"/>
    <col min="27" max="43" width="9.140625" style="98"/>
    <col min="44" max="16384" width="9.140625" style="94"/>
  </cols>
  <sheetData>
    <row r="1" spans="1:43" s="19" customFormat="1" ht="43.5" customHeight="1" x14ac:dyDescent="0.2">
      <c r="A1" s="1434" t="str">
        <f>IF(CoverSheet!J12="N/A","Progress Report","Progress Report with Disbursement Request")</f>
        <v>Progress Report with Disbursement Request</v>
      </c>
      <c r="B1" s="1434"/>
      <c r="C1" s="1434"/>
      <c r="D1" s="1434"/>
      <c r="E1" s="1434"/>
      <c r="F1" s="1434"/>
      <c r="G1" s="1434"/>
      <c r="H1" s="1434"/>
      <c r="I1" s="152"/>
      <c r="J1" s="153"/>
      <c r="K1" s="153"/>
      <c r="L1" s="153"/>
      <c r="M1" s="153"/>
      <c r="N1" s="153"/>
      <c r="P1" s="153"/>
      <c r="Q1" s="153"/>
      <c r="R1" s="153"/>
      <c r="S1" s="153"/>
      <c r="W1" s="367"/>
      <c r="X1" s="367"/>
      <c r="Z1" s="430"/>
      <c r="AA1" s="46"/>
      <c r="AB1" s="46"/>
      <c r="AC1" s="46"/>
      <c r="AD1" s="46"/>
      <c r="AE1" s="46"/>
      <c r="AF1" s="46"/>
      <c r="AG1" s="46"/>
      <c r="AH1" s="46"/>
      <c r="AI1" s="46"/>
      <c r="AJ1" s="46"/>
      <c r="AK1" s="46"/>
      <c r="AL1" s="46"/>
      <c r="AM1" s="46"/>
      <c r="AN1" s="46"/>
      <c r="AO1" s="46"/>
      <c r="AP1" s="46"/>
      <c r="AQ1" s="46"/>
    </row>
    <row r="2" spans="1:43" s="86" customFormat="1" ht="30" customHeight="1" x14ac:dyDescent="0.2">
      <c r="A2" s="119" t="s">
        <v>168</v>
      </c>
      <c r="B2" s="95"/>
      <c r="C2" s="95"/>
      <c r="D2" s="95"/>
      <c r="E2" s="151"/>
      <c r="F2" s="150"/>
      <c r="G2" s="150"/>
      <c r="H2" s="150"/>
      <c r="I2" s="150"/>
      <c r="J2" s="150"/>
      <c r="K2" s="150"/>
      <c r="L2" s="150"/>
      <c r="M2" s="150"/>
      <c r="N2" s="150"/>
      <c r="O2" s="95"/>
      <c r="P2" s="150"/>
      <c r="Q2" s="150"/>
      <c r="R2" s="150"/>
      <c r="S2" s="150"/>
      <c r="T2" s="95"/>
      <c r="U2" s="95"/>
      <c r="V2" s="95"/>
      <c r="W2" s="368"/>
      <c r="X2" s="368"/>
      <c r="Y2" s="95"/>
      <c r="Z2" s="497"/>
      <c r="AA2" s="498"/>
      <c r="AB2" s="498"/>
      <c r="AC2" s="498"/>
      <c r="AD2" s="498"/>
      <c r="AE2" s="498"/>
      <c r="AF2" s="498"/>
      <c r="AG2" s="498"/>
      <c r="AH2" s="498"/>
      <c r="AI2" s="498"/>
      <c r="AJ2" s="498"/>
      <c r="AK2" s="498"/>
      <c r="AL2" s="498"/>
      <c r="AM2" s="498"/>
      <c r="AN2" s="498"/>
      <c r="AO2" s="498"/>
      <c r="AP2" s="498"/>
      <c r="AQ2" s="498"/>
    </row>
    <row r="3" spans="1:43" ht="16.5" customHeight="1" thickBot="1" x14ac:dyDescent="0.25">
      <c r="A3" s="99"/>
      <c r="B3" s="98"/>
      <c r="C3" s="98"/>
      <c r="D3" s="98"/>
      <c r="E3" s="99"/>
      <c r="F3" s="96"/>
      <c r="G3" s="96"/>
      <c r="H3" s="96"/>
      <c r="I3" s="96"/>
      <c r="J3" s="96"/>
      <c r="K3" s="96"/>
      <c r="L3" s="96"/>
      <c r="M3" s="96"/>
      <c r="N3" s="96"/>
      <c r="O3" s="98"/>
    </row>
    <row r="4" spans="1:43" ht="39" customHeight="1" thickBot="1" x14ac:dyDescent="0.25">
      <c r="A4" s="1437" t="s">
        <v>173</v>
      </c>
      <c r="B4" s="1438"/>
      <c r="C4" s="1438"/>
      <c r="D4" s="1438"/>
      <c r="E4" s="1438"/>
      <c r="F4" s="1438"/>
      <c r="G4" s="1438"/>
      <c r="H4" s="1438"/>
      <c r="I4" s="1438"/>
      <c r="J4" s="1438"/>
      <c r="K4" s="1438"/>
      <c r="L4" s="1438"/>
      <c r="M4" s="1438"/>
      <c r="N4" s="1438"/>
      <c r="O4" s="1439"/>
      <c r="P4" s="1436"/>
      <c r="Q4" s="1436"/>
      <c r="R4" s="1436"/>
      <c r="S4" s="1436"/>
      <c r="T4" s="1436"/>
      <c r="U4" s="1435" t="s">
        <v>101</v>
      </c>
      <c r="V4" s="1404"/>
      <c r="W4" s="436"/>
      <c r="X4" s="436"/>
      <c r="Y4" s="437"/>
    </row>
    <row r="5" spans="1:43" ht="29.25" customHeight="1" x14ac:dyDescent="0.2">
      <c r="A5" s="1413" t="s">
        <v>69</v>
      </c>
      <c r="B5" s="1417" t="s">
        <v>535</v>
      </c>
      <c r="C5" s="1417" t="s">
        <v>93</v>
      </c>
      <c r="D5" s="1417"/>
      <c r="E5" s="1414" t="s">
        <v>21</v>
      </c>
      <c r="F5" s="1417" t="s">
        <v>99</v>
      </c>
      <c r="G5" s="1443"/>
      <c r="H5" s="1443"/>
      <c r="I5" s="1443"/>
      <c r="J5" s="1443"/>
      <c r="K5" s="1417" t="s">
        <v>92</v>
      </c>
      <c r="L5" s="1417"/>
      <c r="M5" s="1417"/>
      <c r="N5" s="1417"/>
      <c r="O5" s="1417" t="s">
        <v>27</v>
      </c>
      <c r="P5" s="1400" t="s">
        <v>98</v>
      </c>
      <c r="Q5" s="1400"/>
      <c r="R5" s="1400"/>
      <c r="S5" s="1400"/>
      <c r="T5" s="1400" t="s">
        <v>27</v>
      </c>
      <c r="U5" s="1423" t="s">
        <v>209</v>
      </c>
      <c r="V5" s="1440" t="s">
        <v>211</v>
      </c>
      <c r="W5" s="438"/>
      <c r="X5" s="438"/>
      <c r="Y5" s="439"/>
    </row>
    <row r="6" spans="1:43" ht="72" customHeight="1" x14ac:dyDescent="0.2">
      <c r="A6" s="1420"/>
      <c r="B6" s="1430"/>
      <c r="C6" s="1430"/>
      <c r="D6" s="1444"/>
      <c r="E6" s="1383"/>
      <c r="F6" s="1190" t="s">
        <v>95</v>
      </c>
      <c r="G6" s="1190" t="s">
        <v>96</v>
      </c>
      <c r="H6" s="1190" t="s">
        <v>97</v>
      </c>
      <c r="I6" s="1190" t="s">
        <v>323</v>
      </c>
      <c r="J6" s="1190" t="s">
        <v>358</v>
      </c>
      <c r="K6" s="1190" t="s">
        <v>95</v>
      </c>
      <c r="L6" s="1190" t="s">
        <v>96</v>
      </c>
      <c r="M6" s="1190" t="s">
        <v>97</v>
      </c>
      <c r="N6" s="1190" t="s">
        <v>358</v>
      </c>
      <c r="O6" s="1430"/>
      <c r="P6" s="1220" t="s">
        <v>95</v>
      </c>
      <c r="Q6" s="1220" t="s">
        <v>96</v>
      </c>
      <c r="R6" s="1220" t="s">
        <v>97</v>
      </c>
      <c r="S6" s="1220" t="s">
        <v>358</v>
      </c>
      <c r="T6" s="1442"/>
      <c r="U6" s="1424"/>
      <c r="V6" s="1441"/>
      <c r="W6" s="1232" t="s">
        <v>356</v>
      </c>
      <c r="X6" s="438"/>
      <c r="Y6" s="439"/>
    </row>
    <row r="7" spans="1:43" ht="30" hidden="1" x14ac:dyDescent="0.2">
      <c r="A7" s="1233" t="s">
        <v>314</v>
      </c>
      <c r="B7" s="1191" t="s">
        <v>315</v>
      </c>
      <c r="C7" s="1191" t="s">
        <v>305</v>
      </c>
      <c r="D7" s="1234" t="e">
        <f>SUBSTITUTE(SUBSTITUTE(SUBSTITUTE(CONCATENATE(#REF!,$C7)," ",""),"/",""),"-","")</f>
        <v>#REF!</v>
      </c>
      <c r="E7" s="1191" t="s">
        <v>306</v>
      </c>
      <c r="F7" s="1235" t="s">
        <v>319</v>
      </c>
      <c r="G7" s="1235" t="s">
        <v>320</v>
      </c>
      <c r="H7" s="1236" t="s">
        <v>321</v>
      </c>
      <c r="I7" s="1191" t="s">
        <v>322</v>
      </c>
      <c r="J7" s="1191" t="s">
        <v>307</v>
      </c>
      <c r="K7" s="1228" t="s">
        <v>331</v>
      </c>
      <c r="L7" s="1228" t="s">
        <v>328</v>
      </c>
      <c r="M7" s="1226" t="str">
        <f>IFERROR((K7/L7)*100,"")</f>
        <v/>
      </c>
      <c r="N7" s="1174" t="s">
        <v>332</v>
      </c>
      <c r="O7" s="1186" t="s">
        <v>296</v>
      </c>
      <c r="P7" s="1228" t="s">
        <v>335</v>
      </c>
      <c r="Q7" s="1228" t="s">
        <v>334</v>
      </c>
      <c r="R7" s="1226" t="str">
        <f>IFERROR((P7/Q7)*100,"")</f>
        <v/>
      </c>
      <c r="S7" s="1174" t="s">
        <v>333</v>
      </c>
      <c r="T7" s="1186" t="s">
        <v>300</v>
      </c>
      <c r="U7" s="1237" t="e">
        <f>#REF!</f>
        <v>#REF!</v>
      </c>
      <c r="V7" s="1238"/>
      <c r="W7" s="1239" t="s">
        <v>355</v>
      </c>
      <c r="X7" s="488"/>
      <c r="Y7" s="489"/>
    </row>
    <row r="8" spans="1:43" ht="45" x14ac:dyDescent="0.2">
      <c r="A8" s="1233" t="s">
        <v>989</v>
      </c>
      <c r="B8" s="1191" t="s">
        <v>990</v>
      </c>
      <c r="C8" s="1191" t="s">
        <v>997</v>
      </c>
      <c r="D8" s="1234" t="e">
        <f>SUBSTITUTE(SUBSTITUTE(SUBSTITUTE(CONCATENATE(#REF!,$C8)," ",""),"/",""),"-","")</f>
        <v>#REF!</v>
      </c>
      <c r="E8" s="1191" t="s">
        <v>998</v>
      </c>
      <c r="F8" s="1235"/>
      <c r="G8" s="1235"/>
      <c r="H8" s="1236"/>
      <c r="I8" s="1191"/>
      <c r="J8" s="1191"/>
      <c r="K8" s="1228">
        <v>20</v>
      </c>
      <c r="L8" s="1228">
        <v>282</v>
      </c>
      <c r="M8" s="1226">
        <f t="shared" ref="M8:M13" si="0">IFERROR((K8/L8)*100,"")</f>
        <v>7.0921985815602842</v>
      </c>
      <c r="N8" s="1174" t="s">
        <v>853</v>
      </c>
      <c r="O8" s="1186" t="s">
        <v>1632</v>
      </c>
      <c r="P8" s="1228"/>
      <c r="Q8" s="1228"/>
      <c r="R8" s="1226" t="str">
        <f t="shared" ref="R8:R13" si="1">IFERROR((P8/Q8)*100,"")</f>
        <v/>
      </c>
      <c r="S8" s="1174"/>
      <c r="T8" s="1186"/>
      <c r="U8" s="1237" t="e">
        <f>#REF!</f>
        <v>#REF!</v>
      </c>
      <c r="V8" s="1238"/>
      <c r="W8" s="1239" t="s">
        <v>999</v>
      </c>
      <c r="X8" s="488"/>
      <c r="Y8" s="489"/>
    </row>
    <row r="9" spans="1:43" ht="60" x14ac:dyDescent="0.2">
      <c r="A9" s="1233" t="s">
        <v>989</v>
      </c>
      <c r="B9" s="1191" t="s">
        <v>990</v>
      </c>
      <c r="C9" s="1191" t="s">
        <v>1000</v>
      </c>
      <c r="D9" s="1234" t="e">
        <f>SUBSTITUTE(SUBSTITUTE(SUBSTITUTE(CONCATENATE(#REF!,$C9)," ",""),"/",""),"-","")</f>
        <v>#REF!</v>
      </c>
      <c r="E9" s="1191" t="s">
        <v>998</v>
      </c>
      <c r="F9" s="1235"/>
      <c r="G9" s="1235"/>
      <c r="H9" s="1236"/>
      <c r="I9" s="1191"/>
      <c r="J9" s="1191"/>
      <c r="K9" s="1228">
        <v>0</v>
      </c>
      <c r="L9" s="1228">
        <v>282</v>
      </c>
      <c r="M9" s="1226">
        <f t="shared" si="0"/>
        <v>0</v>
      </c>
      <c r="N9" s="1174" t="s">
        <v>853</v>
      </c>
      <c r="O9" s="1186" t="s">
        <v>1633</v>
      </c>
      <c r="P9" s="1228"/>
      <c r="Q9" s="1228"/>
      <c r="R9" s="1226" t="str">
        <f t="shared" si="1"/>
        <v/>
      </c>
      <c r="S9" s="1174"/>
      <c r="T9" s="1186"/>
      <c r="U9" s="1237" t="e">
        <f>#REF!</f>
        <v>#REF!</v>
      </c>
      <c r="V9" s="1238"/>
      <c r="W9" s="1239" t="s">
        <v>1001</v>
      </c>
      <c r="X9" s="488"/>
      <c r="Y9" s="489"/>
    </row>
    <row r="10" spans="1:43" ht="45" x14ac:dyDescent="0.2">
      <c r="A10" s="1233" t="s">
        <v>989</v>
      </c>
      <c r="B10" s="1191" t="s">
        <v>990</v>
      </c>
      <c r="C10" s="1191" t="s">
        <v>1002</v>
      </c>
      <c r="D10" s="1234" t="e">
        <f>SUBSTITUTE(SUBSTITUTE(SUBSTITUTE(CONCATENATE(#REF!,$C10)," ",""),"/",""),"-","")</f>
        <v>#REF!</v>
      </c>
      <c r="E10" s="1191" t="s">
        <v>1003</v>
      </c>
      <c r="F10" s="1235">
        <v>326</v>
      </c>
      <c r="G10" s="1235">
        <v>400</v>
      </c>
      <c r="H10" s="1236">
        <v>81.5</v>
      </c>
      <c r="I10" s="1191" t="s">
        <v>832</v>
      </c>
      <c r="J10" s="1191" t="s">
        <v>872</v>
      </c>
      <c r="K10" s="1228">
        <v>220</v>
      </c>
      <c r="L10" s="1228">
        <v>282</v>
      </c>
      <c r="M10" s="1226">
        <f t="shared" si="0"/>
        <v>78.01418439716312</v>
      </c>
      <c r="N10" s="1174" t="s">
        <v>872</v>
      </c>
      <c r="O10" s="1186" t="s">
        <v>1629</v>
      </c>
      <c r="P10" s="1228"/>
      <c r="Q10" s="1228"/>
      <c r="R10" s="1226" t="str">
        <f t="shared" si="1"/>
        <v/>
      </c>
      <c r="S10" s="1174"/>
      <c r="T10" s="1186"/>
      <c r="U10" s="1237" t="e">
        <f>#REF!</f>
        <v>#REF!</v>
      </c>
      <c r="V10" s="1238"/>
      <c r="W10" s="1239" t="s">
        <v>1004</v>
      </c>
      <c r="X10" s="488"/>
      <c r="Y10" s="489"/>
    </row>
    <row r="11" spans="1:43" ht="45" x14ac:dyDescent="0.2">
      <c r="A11" s="1233" t="s">
        <v>989</v>
      </c>
      <c r="B11" s="1191" t="s">
        <v>990</v>
      </c>
      <c r="C11" s="1191" t="s">
        <v>1005</v>
      </c>
      <c r="D11" s="1234" t="e">
        <f>SUBSTITUTE(SUBSTITUTE(SUBSTITUTE(CONCATENATE(#REF!,$C11)," ",""),"/",""),"-","")</f>
        <v>#REF!</v>
      </c>
      <c r="E11" s="1191" t="s">
        <v>1006</v>
      </c>
      <c r="F11" s="1235">
        <v>2</v>
      </c>
      <c r="G11" s="1235">
        <v>400</v>
      </c>
      <c r="H11" s="1236">
        <v>0.5</v>
      </c>
      <c r="I11" s="1191" t="s">
        <v>832</v>
      </c>
      <c r="J11" s="1191" t="s">
        <v>872</v>
      </c>
      <c r="K11" s="1228">
        <v>7</v>
      </c>
      <c r="L11" s="1228">
        <v>282</v>
      </c>
      <c r="M11" s="1226">
        <f t="shared" si="0"/>
        <v>2.4822695035460995</v>
      </c>
      <c r="N11" s="1174" t="s">
        <v>872</v>
      </c>
      <c r="O11" s="1186" t="s">
        <v>1630</v>
      </c>
      <c r="P11" s="1228"/>
      <c r="Q11" s="1228"/>
      <c r="R11" s="1226" t="str">
        <f t="shared" si="1"/>
        <v/>
      </c>
      <c r="S11" s="1174"/>
      <c r="T11" s="1186"/>
      <c r="U11" s="1237" t="e">
        <f>#REF!</f>
        <v>#REF!</v>
      </c>
      <c r="V11" s="1238"/>
      <c r="W11" s="1239" t="s">
        <v>1007</v>
      </c>
      <c r="X11" s="488"/>
      <c r="Y11" s="489"/>
    </row>
    <row r="12" spans="1:43" ht="45" x14ac:dyDescent="0.2">
      <c r="A12" s="1233" t="s">
        <v>989</v>
      </c>
      <c r="B12" s="1191" t="s">
        <v>990</v>
      </c>
      <c r="C12" s="1191" t="s">
        <v>1008</v>
      </c>
      <c r="D12" s="1234" t="e">
        <f>SUBSTITUTE(SUBSTITUTE(SUBSTITUTE(CONCATENATE(#REF!,$C12)," ",""),"/",""),"-","")</f>
        <v>#REF!</v>
      </c>
      <c r="E12" s="1191" t="s">
        <v>1006</v>
      </c>
      <c r="F12" s="1235">
        <v>398</v>
      </c>
      <c r="G12" s="1235">
        <v>400</v>
      </c>
      <c r="H12" s="1236">
        <v>99.5</v>
      </c>
      <c r="I12" s="1191" t="s">
        <v>832</v>
      </c>
      <c r="J12" s="1191" t="s">
        <v>872</v>
      </c>
      <c r="K12" s="1228">
        <v>275</v>
      </c>
      <c r="L12" s="1228">
        <v>282</v>
      </c>
      <c r="M12" s="1226">
        <f t="shared" si="0"/>
        <v>97.517730496453908</v>
      </c>
      <c r="N12" s="1174" t="s">
        <v>872</v>
      </c>
      <c r="O12" s="1186" t="s">
        <v>1631</v>
      </c>
      <c r="P12" s="1228"/>
      <c r="Q12" s="1228"/>
      <c r="R12" s="1226" t="str">
        <f t="shared" si="1"/>
        <v/>
      </c>
      <c r="S12" s="1174"/>
      <c r="T12" s="1186"/>
      <c r="U12" s="1237" t="e">
        <f>#REF!</f>
        <v>#REF!</v>
      </c>
      <c r="V12" s="1238"/>
      <c r="W12" s="1239" t="s">
        <v>1009</v>
      </c>
      <c r="X12" s="488"/>
      <c r="Y12" s="489"/>
    </row>
    <row r="13" spans="1:43" ht="45" x14ac:dyDescent="0.2">
      <c r="A13" s="1233" t="s">
        <v>989</v>
      </c>
      <c r="B13" s="1191" t="s">
        <v>990</v>
      </c>
      <c r="C13" s="1191" t="s">
        <v>1010</v>
      </c>
      <c r="D13" s="1234" t="e">
        <f>SUBSTITUTE(SUBSTITUTE(SUBSTITUTE(CONCATENATE(#REF!,$C13)," ",""),"/",""),"-","")</f>
        <v>#REF!</v>
      </c>
      <c r="E13" s="1191" t="s">
        <v>1003</v>
      </c>
      <c r="F13" s="1235">
        <v>74</v>
      </c>
      <c r="G13" s="1235">
        <v>400</v>
      </c>
      <c r="H13" s="1236">
        <v>18.5</v>
      </c>
      <c r="I13" s="1191" t="s">
        <v>832</v>
      </c>
      <c r="J13" s="1191" t="s">
        <v>872</v>
      </c>
      <c r="K13" s="1228">
        <v>62</v>
      </c>
      <c r="L13" s="1228">
        <v>282</v>
      </c>
      <c r="M13" s="1226">
        <f t="shared" si="0"/>
        <v>21.98581560283688</v>
      </c>
      <c r="N13" s="1174" t="s">
        <v>872</v>
      </c>
      <c r="O13" s="1186" t="s">
        <v>1629</v>
      </c>
      <c r="P13" s="1228"/>
      <c r="Q13" s="1228"/>
      <c r="R13" s="1226" t="str">
        <f t="shared" si="1"/>
        <v/>
      </c>
      <c r="S13" s="1174"/>
      <c r="T13" s="1186"/>
      <c r="U13" s="1237" t="e">
        <f>#REF!</f>
        <v>#REF!</v>
      </c>
      <c r="V13" s="1238"/>
      <c r="W13" s="1239" t="s">
        <v>1011</v>
      </c>
      <c r="X13" s="488"/>
      <c r="Y13" s="489"/>
    </row>
    <row r="14" spans="1:43" ht="2.1" customHeight="1" thickBot="1" x14ac:dyDescent="0.25">
      <c r="A14" s="440"/>
      <c r="B14" s="441"/>
      <c r="C14" s="441"/>
      <c r="D14" s="441"/>
      <c r="E14" s="442"/>
      <c r="F14" s="443"/>
      <c r="G14" s="443"/>
      <c r="H14" s="443"/>
      <c r="I14" s="443"/>
      <c r="J14" s="443"/>
      <c r="K14" s="443"/>
      <c r="L14" s="443"/>
      <c r="M14" s="443"/>
      <c r="N14" s="443"/>
      <c r="O14" s="441"/>
      <c r="P14" s="443"/>
      <c r="Q14" s="443"/>
      <c r="R14" s="443"/>
      <c r="S14" s="443"/>
      <c r="T14" s="441"/>
      <c r="U14" s="441"/>
      <c r="V14" s="441"/>
      <c r="W14" s="444"/>
      <c r="X14" s="512"/>
      <c r="Y14" s="513"/>
    </row>
    <row r="18" spans="16:25" x14ac:dyDescent="0.2">
      <c r="P18" s="96"/>
      <c r="Q18" s="96"/>
      <c r="R18" s="96"/>
      <c r="S18" s="96"/>
      <c r="T18" s="98"/>
      <c r="U18" s="98"/>
      <c r="V18" s="98"/>
      <c r="W18" s="438"/>
      <c r="X18" s="438"/>
      <c r="Y18" s="98"/>
    </row>
    <row r="19" spans="16:25" x14ac:dyDescent="0.2">
      <c r="P19" s="96"/>
      <c r="Q19" s="96"/>
      <c r="R19" s="96"/>
      <c r="S19" s="96"/>
      <c r="T19" s="1397"/>
      <c r="U19" s="98"/>
      <c r="V19" s="98"/>
      <c r="W19" s="438"/>
      <c r="X19" s="438"/>
      <c r="Y19" s="98"/>
    </row>
    <row r="20" spans="16:25" x14ac:dyDescent="0.2">
      <c r="P20" s="96"/>
      <c r="Q20" s="96"/>
      <c r="R20" s="96"/>
      <c r="S20" s="96"/>
      <c r="T20" s="1433"/>
      <c r="U20" s="98"/>
      <c r="V20" s="98"/>
      <c r="W20" s="438"/>
      <c r="X20" s="438"/>
      <c r="Y20" s="98"/>
    </row>
    <row r="21" spans="16:25" ht="15" x14ac:dyDescent="0.2">
      <c r="P21" s="968"/>
      <c r="Q21" s="968"/>
      <c r="R21" s="968"/>
      <c r="S21" s="968"/>
      <c r="T21" s="967"/>
      <c r="U21" s="98"/>
      <c r="V21" s="98"/>
      <c r="W21" s="438"/>
      <c r="X21" s="438"/>
      <c r="Y21" s="98"/>
    </row>
    <row r="22" spans="16:25" ht="15" x14ac:dyDescent="0.2">
      <c r="P22" s="962"/>
      <c r="Q22" s="962"/>
      <c r="R22" s="963"/>
      <c r="S22" s="649"/>
      <c r="T22" s="98"/>
      <c r="U22" s="98"/>
      <c r="V22" s="98"/>
      <c r="W22" s="438"/>
      <c r="X22" s="438"/>
      <c r="Y22" s="98"/>
    </row>
    <row r="23" spans="16:25" x14ac:dyDescent="0.2">
      <c r="P23" s="96"/>
      <c r="Q23" s="96"/>
      <c r="R23" s="96"/>
      <c r="S23" s="96"/>
      <c r="T23" s="98"/>
      <c r="U23" s="98"/>
      <c r="V23" s="98"/>
      <c r="W23" s="438"/>
      <c r="X23" s="438"/>
      <c r="Y23" s="98"/>
    </row>
    <row r="24" spans="16:25" x14ac:dyDescent="0.2">
      <c r="P24" s="96"/>
      <c r="Q24" s="96"/>
      <c r="R24" s="96"/>
      <c r="S24" s="96"/>
      <c r="T24" s="98"/>
      <c r="U24" s="98"/>
      <c r="V24" s="98"/>
      <c r="W24" s="438"/>
      <c r="X24" s="438"/>
      <c r="Y24" s="98"/>
    </row>
    <row r="25" spans="16:25" x14ac:dyDescent="0.2">
      <c r="P25" s="96"/>
      <c r="Q25" s="96"/>
      <c r="R25" s="96"/>
      <c r="S25" s="96"/>
      <c r="T25" s="98"/>
      <c r="U25" s="98"/>
      <c r="V25" s="98"/>
      <c r="W25" s="438"/>
      <c r="X25" s="438"/>
      <c r="Y25" s="98"/>
    </row>
  </sheetData>
  <sheetProtection algorithmName="SHA-512" hashValue="HlA2RtWzO88PzzjgrJfWNXOt9G8kW6NYOPLXFg6xp3UDA/iSutNNXPf/XQK7P/Jd89z6C/68rquVe0BwdSUSUA==" saltValue="76LOAxcuES6i86sY6EiaaQ==" spinCount="100000" sheet="1" objects="1" scenarios="1" formatColumns="0" formatRows="0" sort="0" autoFilter="0"/>
  <autoFilter ref="A5:W13">
    <filterColumn colId="5" showButton="0"/>
    <filterColumn colId="6" showButton="0"/>
    <filterColumn colId="7" showButton="0"/>
    <filterColumn colId="8" showButton="0"/>
    <filterColumn colId="10" showButton="0"/>
    <filterColumn colId="11" showButton="0"/>
    <filterColumn colId="12" showButton="0"/>
    <filterColumn colId="15" showButton="0"/>
    <filterColumn colId="16" showButton="0"/>
    <filterColumn colId="17" showButton="0"/>
  </autoFilter>
  <dataConsolidate link="1"/>
  <mergeCells count="17">
    <mergeCell ref="E5:E6"/>
    <mergeCell ref="T19:T20"/>
    <mergeCell ref="A1:H1"/>
    <mergeCell ref="U4:V4"/>
    <mergeCell ref="P4:T4"/>
    <mergeCell ref="A4:O4"/>
    <mergeCell ref="U5:U6"/>
    <mergeCell ref="V5:V6"/>
    <mergeCell ref="P5:S5"/>
    <mergeCell ref="T5:T6"/>
    <mergeCell ref="A5:A6"/>
    <mergeCell ref="B5:B6"/>
    <mergeCell ref="F5:J5"/>
    <mergeCell ref="O5:O6"/>
    <mergeCell ref="C5:C6"/>
    <mergeCell ref="D5:D6"/>
    <mergeCell ref="K5:N5"/>
  </mergeCells>
  <dataValidations count="13">
    <dataValidation type="decimal" allowBlank="1" showInputMessage="1" showErrorMessage="1" errorTitle="X-Author for Excel" error="Please enter a valid numeric value. Valid range for Baseline N# is -9999999999 to 9999999999." promptTitle="X-Author for Excel" sqref="F7:F13">
      <formula1>-9999999999</formula1>
      <formula2>9999999999</formula2>
    </dataValidation>
    <dataValidation type="decimal" allowBlank="1" showInputMessage="1" showErrorMessage="1" errorTitle="X-Author for Excel" error="Please enter a valid numeric value. Valid range for Baseline D# is -9999999999 to 9999999999." promptTitle="X-Author for Excel" sqref="G7:G13">
      <formula1>-9999999999</formula1>
      <formula2>9999999999</formula2>
    </dataValidation>
    <dataValidation type="decimal" allowBlank="1" showInputMessage="1" showErrorMessage="1" errorTitle="X-Author for Excel" error="Please enter a valid numeric value. Valid range for Baseline % is -999 to 999." promptTitle="X-Author for Excel" sqref="H7:H13">
      <formula1>-999</formula1>
      <formula2>999</formula2>
    </dataValidation>
    <dataValidation type="list" allowBlank="1" showInputMessage="1" showErrorMessage="1" errorTitle="X-Author for Excel" error="Please select a value from the drop-down." promptTitle="X-Author for Excel" sqref="I7:I13">
      <formula1>IF(IFERROR(ROWS(INDIRECT(SUBSTITUTE("AIM_Coverage_Disaggregation__c.AIM_Year__c"," ","_"))),-1) &lt; 0, XAuthorInvalidPicklistData,INDIRECT(SUBSTITUTE("AIM_Coverage_Disaggregation__c.AIM_Year__c"," ","_")))</formula1>
    </dataValidation>
    <dataValidation type="decimal" allowBlank="1" showInputMessage="1" showErrorMessage="1" errorTitle="X-Author for Excel" error="Please enter a valid numeric value. Valid range for Result N# (PR) is -9999999999 to 9999999999." promptTitle="X-Author for Excel" sqref="K7:K13">
      <formula1>-9999999999</formula1>
      <formula2>9999999999</formula2>
    </dataValidation>
    <dataValidation type="decimal" allowBlank="1" showInputMessage="1" showErrorMessage="1" errorTitle="X-Author for Excel" error="Please enter a valid numeric value. Valid range for Result D# (PR) is -9999999999 to 9999999999." promptTitle="X-Author for Excel" sqref="L7:L13">
      <formula1>-9999999999</formula1>
      <formula2>9999999999</formula2>
    </dataValidation>
    <dataValidation type="decimal" allowBlank="1" showInputMessage="1" showErrorMessage="1" errorTitle="X-Author for Excel" error="Please enter a valid numeric value. Valid range for Result % (PR) is -9999999999 to 9999999999." promptTitle="X-Author for Excel" sqref="M7:M13">
      <formula1>-9999999999</formula1>
      <formula2>9999999999</formula2>
    </dataValidation>
    <dataValidation type="list" allowBlank="1" showInputMessage="1" showErrorMessage="1" errorTitle="X-Author for Excel" error="Please select a value from the drop-down." promptTitle="X-Author for Excel" sqref="N7:N13">
      <formula1>IF(IFERROR(ROWS(INDIRECT(SUBSTITUTE("AIM_Coverage_Disaggregation_Result__c.AIM_Source_PR__c"," ","_"))),-1) &lt; 0, XAuthorInvalidPicklistData,INDIRECT(SUBSTITUTE("AIM_Coverage_Disaggregation_Result__c.AIM_Source_PR__c"," ","_")))</formula1>
    </dataValidation>
    <dataValidation type="decimal" allowBlank="1" showInputMessage="1" showErrorMessage="1" errorTitle="X-Author for Excel" error="Please enter a valid numeric value. Valid range for Result N# (LFA) is -9999999999 to 9999999999." promptTitle="X-Author for Excel" sqref="P7:P13">
      <formula1>-9999999999</formula1>
      <formula2>9999999999</formula2>
    </dataValidation>
    <dataValidation type="decimal" allowBlank="1" showInputMessage="1" showErrorMessage="1" errorTitle="X-Author for Excel" error="Please enter a valid numeric value. Valid range for Result D# (LFA) is -9999999999 to 9999999999." promptTitle="X-Author for Excel" sqref="Q7:Q13">
      <formula1>-9999999999</formula1>
      <formula2>9999999999</formula2>
    </dataValidation>
    <dataValidation type="decimal" allowBlank="1" showInputMessage="1" showErrorMessage="1" errorTitle="X-Author for Excel" error="Please enter a valid numeric value. Valid range for Result % (LFA) is -9999999999 to 9999999999." promptTitle="X-Author for Excel" sqref="R7:R13">
      <formula1>-9999999999</formula1>
      <formula2>9999999999</formula2>
    </dataValidation>
    <dataValidation type="list" allowBlank="1" showInputMessage="1" showErrorMessage="1" errorTitle="X-Author for Excel" error="Please select a value from the drop-down." promptTitle="X-Author for Excel" sqref="S7:S13">
      <formula1>IF(IFERROR(ROWS(INDIRECT(SUBSTITUTE("AIM_Coverage_Disaggregation_Result__c.AIM_LFA_Source__c"," ","_"))),-1) &lt; 0, XAuthorInvalidPicklistData,INDIRECT(SUBSTITUTE("AIM_Coverage_Disaggregation_Result__c.AIM_LFA_Source__c"," ","_")))</formula1>
    </dataValidation>
    <dataValidation type="custom" allowBlank="1" showInputMessage="1" showErrorMessage="1" errorTitle="X-Author for Excel" error="Id and Lookup fields are not editable." promptTitle="X-Author for Excel" sqref="W7:W13">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26" orientation="landscape" r:id="rId1"/>
  <headerFooter>
    <oddFooter>&amp;L&amp;A&amp;R&amp;P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FF00"/>
  </sheetPr>
  <dimension ref="A1:AE50"/>
  <sheetViews>
    <sheetView showGridLines="0" view="pageBreakPreview" zoomScale="70" zoomScaleNormal="70" zoomScaleSheetLayoutView="70" workbookViewId="0">
      <selection activeCell="L8" sqref="L8"/>
    </sheetView>
  </sheetViews>
  <sheetFormatPr defaultColWidth="9.140625" defaultRowHeight="12.75" x14ac:dyDescent="0.2"/>
  <cols>
    <col min="1" max="1" width="41.42578125" style="8" customWidth="1"/>
    <col min="2" max="2" width="26.42578125" style="8" customWidth="1"/>
    <col min="3" max="3" width="20.5703125" style="8" customWidth="1"/>
    <col min="4" max="4" width="24" style="8" customWidth="1"/>
    <col min="5" max="5" width="29" style="8" bestFit="1" customWidth="1"/>
    <col min="6" max="6" width="25.85546875" style="8" bestFit="1" customWidth="1"/>
    <col min="7" max="7" width="25.85546875" style="8" hidden="1" customWidth="1"/>
    <col min="8" max="8" width="18.85546875" style="8" customWidth="1"/>
    <col min="9" max="9" width="8.42578125" style="8" hidden="1" customWidth="1"/>
    <col min="10" max="10" width="21.42578125" style="8" customWidth="1"/>
    <col min="11" max="11" width="35.140625" style="8" bestFit="1" customWidth="1"/>
    <col min="12" max="12" width="64.5703125" style="8" customWidth="1"/>
    <col min="13" max="13" width="21.42578125" style="8" customWidth="1"/>
    <col min="14" max="14" width="35.42578125" style="8" bestFit="1" customWidth="1"/>
    <col min="15" max="15" width="69.85546875" style="8" customWidth="1"/>
    <col min="16" max="17" width="21.42578125" style="8" hidden="1" customWidth="1"/>
    <col min="18" max="18" width="35.42578125" style="8" hidden="1" customWidth="1"/>
    <col min="19" max="19" width="49.5703125" style="8" hidden="1" customWidth="1"/>
    <col min="20" max="20" width="9.140625" style="369" hidden="1" customWidth="1"/>
    <col min="21" max="21" width="0.140625" style="369" customWidth="1"/>
    <col min="22" max="22" width="0.140625" style="8" customWidth="1"/>
    <col min="23" max="23" width="6.85546875" style="388" hidden="1" customWidth="1"/>
    <col min="24" max="24" width="28.5703125" style="14" hidden="1" customWidth="1"/>
    <col min="25" max="27" width="9.140625" style="14" hidden="1" customWidth="1"/>
    <col min="28" max="31" width="9.140625" style="14"/>
    <col min="32" max="16384" width="9.140625" style="8"/>
  </cols>
  <sheetData>
    <row r="1" spans="1:31" ht="57" customHeight="1" x14ac:dyDescent="0.2">
      <c r="A1" s="1428" t="str">
        <f>IF(CoverSheet!J12="N/A","Progress Report","Progress Report with Disbursement Request")</f>
        <v>Progress Report with Disbursement Request</v>
      </c>
      <c r="B1" s="1428"/>
      <c r="C1" s="1428"/>
      <c r="D1" s="1428"/>
      <c r="E1" s="1428"/>
      <c r="F1" s="1428"/>
      <c r="G1" s="1428"/>
      <c r="H1" s="1428"/>
      <c r="I1" s="1428"/>
      <c r="J1" s="1428"/>
      <c r="K1" s="1428"/>
      <c r="L1" s="1428"/>
      <c r="M1" s="372"/>
      <c r="N1" s="7"/>
      <c r="P1" s="372"/>
      <c r="Q1" s="372"/>
    </row>
    <row r="2" spans="1:31" s="15" customFormat="1" ht="41.25" hidden="1" customHeight="1" x14ac:dyDescent="0.2">
      <c r="A2" s="14" t="e">
        <f>'Coverage Indicators_1B'!#REF!</f>
        <v>#REF!</v>
      </c>
      <c r="B2" s="14"/>
      <c r="C2" s="14"/>
      <c r="D2" s="14"/>
      <c r="E2" s="14"/>
      <c r="F2" s="14"/>
      <c r="G2" s="14"/>
      <c r="H2" s="14"/>
      <c r="I2" s="14"/>
      <c r="J2" s="14"/>
      <c r="K2" s="14"/>
      <c r="L2" s="14"/>
      <c r="M2" s="14"/>
      <c r="N2" s="10"/>
      <c r="O2" s="10"/>
      <c r="P2" s="14"/>
      <c r="Q2" s="14"/>
      <c r="R2" s="10"/>
      <c r="S2" s="10"/>
      <c r="T2" s="370"/>
      <c r="U2" s="370"/>
      <c r="W2" s="499"/>
      <c r="X2" s="21"/>
      <c r="Y2" s="21"/>
      <c r="Z2" s="21"/>
      <c r="AA2" s="21"/>
      <c r="AB2" s="21"/>
      <c r="AC2" s="21"/>
      <c r="AD2" s="21"/>
      <c r="AE2" s="21"/>
    </row>
    <row r="3" spans="1:31" ht="30" customHeight="1" x14ac:dyDescent="0.2">
      <c r="A3" s="12" t="s">
        <v>168</v>
      </c>
      <c r="B3" s="387"/>
      <c r="C3" s="387"/>
      <c r="D3" s="387"/>
      <c r="E3" s="387"/>
      <c r="F3" s="387"/>
      <c r="G3" s="387"/>
      <c r="H3" s="387"/>
      <c r="I3" s="387"/>
      <c r="J3" s="387"/>
      <c r="K3" s="387"/>
      <c r="L3" s="387"/>
      <c r="M3" s="387"/>
      <c r="N3" s="387"/>
      <c r="O3" s="387"/>
      <c r="P3" s="387"/>
      <c r="Q3" s="387"/>
      <c r="R3" s="387"/>
      <c r="S3" s="387"/>
      <c r="T3" s="409"/>
      <c r="U3" s="409"/>
      <c r="V3" s="387"/>
      <c r="W3" s="409"/>
      <c r="X3" s="387"/>
      <c r="Y3" s="387"/>
      <c r="Z3" s="387"/>
      <c r="AA3" s="387"/>
      <c r="AB3" s="387"/>
      <c r="AC3" s="387"/>
    </row>
    <row r="4" spans="1:31" s="14" customFormat="1" ht="37.5" customHeight="1" thickBot="1" x14ac:dyDescent="0.25">
      <c r="A4" s="16" t="s">
        <v>537</v>
      </c>
      <c r="B4" s="18"/>
      <c r="C4" s="18"/>
      <c r="D4" s="17"/>
      <c r="E4" s="13"/>
      <c r="F4" s="13"/>
      <c r="G4" s="13"/>
      <c r="H4" s="13"/>
      <c r="N4" s="10"/>
      <c r="O4" s="10"/>
      <c r="R4" s="10"/>
      <c r="S4" s="15"/>
      <c r="T4" s="370"/>
      <c r="U4" s="371"/>
      <c r="V4" s="10"/>
      <c r="W4" s="445"/>
    </row>
    <row r="5" spans="1:31" ht="27" customHeight="1" thickBot="1" x14ac:dyDescent="0.25">
      <c r="A5" s="1388" t="s">
        <v>174</v>
      </c>
      <c r="B5" s="1389"/>
      <c r="C5" s="1389"/>
      <c r="D5" s="1389"/>
      <c r="E5" s="1389"/>
      <c r="F5" s="1389"/>
      <c r="G5" s="1389"/>
      <c r="H5" s="1389"/>
      <c r="I5" s="1389"/>
      <c r="J5" s="1389"/>
      <c r="K5" s="1389"/>
      <c r="L5" s="1446"/>
      <c r="M5" s="1379"/>
      <c r="N5" s="1379"/>
      <c r="O5" s="1445"/>
      <c r="P5" s="432"/>
      <c r="Q5" s="432"/>
      <c r="R5" s="1379" t="s">
        <v>101</v>
      </c>
      <c r="S5" s="1379"/>
      <c r="T5" s="510"/>
      <c r="U5" s="446"/>
      <c r="V5" s="447"/>
      <c r="W5" s="445"/>
    </row>
    <row r="6" spans="1:31" ht="78.75" customHeight="1" x14ac:dyDescent="0.2">
      <c r="A6" s="1190" t="s">
        <v>336</v>
      </c>
      <c r="B6" s="521" t="s">
        <v>338</v>
      </c>
      <c r="C6" s="521" t="s">
        <v>368</v>
      </c>
      <c r="D6" s="521" t="s">
        <v>360</v>
      </c>
      <c r="E6" s="923" t="s">
        <v>361</v>
      </c>
      <c r="F6" s="923" t="s">
        <v>342</v>
      </c>
      <c r="G6" s="521" t="s">
        <v>362</v>
      </c>
      <c r="H6" s="521" t="s">
        <v>363</v>
      </c>
      <c r="I6" s="521" t="s">
        <v>91</v>
      </c>
      <c r="J6" s="521" t="s">
        <v>197</v>
      </c>
      <c r="K6" s="521" t="s">
        <v>367</v>
      </c>
      <c r="L6" s="521" t="s">
        <v>364</v>
      </c>
      <c r="M6" s="813" t="s">
        <v>197</v>
      </c>
      <c r="N6" s="813" t="s">
        <v>365</v>
      </c>
      <c r="O6" s="813" t="s">
        <v>552</v>
      </c>
      <c r="P6" s="525" t="s">
        <v>197</v>
      </c>
      <c r="Q6" s="525" t="s">
        <v>197</v>
      </c>
      <c r="R6" s="525" t="s">
        <v>217</v>
      </c>
      <c r="S6" s="525" t="s">
        <v>210</v>
      </c>
      <c r="T6" s="1240" t="s">
        <v>356</v>
      </c>
      <c r="U6" s="445"/>
      <c r="V6" s="448"/>
      <c r="W6" s="445"/>
    </row>
    <row r="7" spans="1:31" ht="30" hidden="1" x14ac:dyDescent="0.2">
      <c r="A7" s="1192" t="s">
        <v>314</v>
      </c>
      <c r="B7" s="1191" t="s">
        <v>337</v>
      </c>
      <c r="C7" s="1191" t="s">
        <v>369</v>
      </c>
      <c r="D7" s="1191" t="s">
        <v>339</v>
      </c>
      <c r="E7" s="1214" t="s">
        <v>340</v>
      </c>
      <c r="F7" s="1214" t="s">
        <v>341</v>
      </c>
      <c r="G7" s="1241" t="s">
        <v>343</v>
      </c>
      <c r="H7" s="1242" t="s">
        <v>344</v>
      </c>
      <c r="I7" s="1243"/>
      <c r="J7" s="1244" t="s">
        <v>345</v>
      </c>
      <c r="K7" s="1245" t="str">
        <f>IFERROR(IF(J7="Not Started",0,IF(J7="Started",1,IF(J7="Advancing",2,IF(J7="Completed",3," "))))," ")</f>
        <v xml:space="preserve"> </v>
      </c>
      <c r="L7" s="1186" t="s">
        <v>346</v>
      </c>
      <c r="M7" s="1244" t="s">
        <v>347</v>
      </c>
      <c r="N7" s="1245" t="str">
        <f>IFERROR(IF(M7="Not Started",0,IF(M7="Started",1,IF(M7="Advancing",2,IF(M7="Completed",3," "))))," ")</f>
        <v xml:space="preserve"> </v>
      </c>
      <c r="O7" s="1186" t="s">
        <v>348</v>
      </c>
      <c r="P7" s="1244"/>
      <c r="Q7" s="1244"/>
      <c r="R7" s="1246" t="str">
        <f>IFERROR(VLOOKUP(Q7,$X$10:$Y$13,2,FALSE),"")</f>
        <v/>
      </c>
      <c r="S7" s="1247"/>
      <c r="T7" s="527" t="s">
        <v>355</v>
      </c>
      <c r="U7" s="388"/>
      <c r="V7" s="390"/>
    </row>
    <row r="8" spans="1:31" ht="75" x14ac:dyDescent="0.2">
      <c r="A8" s="1192" t="s">
        <v>1012</v>
      </c>
      <c r="B8" s="1191" t="s">
        <v>1013</v>
      </c>
      <c r="C8" s="1191"/>
      <c r="D8" s="1191" t="s">
        <v>1014</v>
      </c>
      <c r="E8" s="1214" t="s">
        <v>1015</v>
      </c>
      <c r="F8" s="1214" t="s">
        <v>1016</v>
      </c>
      <c r="G8" s="1241" t="b">
        <v>1</v>
      </c>
      <c r="H8" s="1242" t="s">
        <v>1017</v>
      </c>
      <c r="I8" s="1243"/>
      <c r="J8" s="1244" t="s">
        <v>201</v>
      </c>
      <c r="K8" s="1245">
        <f>IFERROR(IF(J8="Not Started",0,IF(J8="Started",1,IF(J8="Advancing",2,IF(J8="Completed",3," "))))," ")</f>
        <v>3</v>
      </c>
      <c r="L8" s="1186" t="s">
        <v>1634</v>
      </c>
      <c r="M8" s="1244"/>
      <c r="N8" s="1245" t="str">
        <f>IFERROR(IF(M8="Not Started",0,IF(M8="Started",1,IF(M8="Advancing",2,IF(M8="Completed",3," "))))," ")</f>
        <v xml:space="preserve"> </v>
      </c>
      <c r="O8" s="1186"/>
      <c r="P8" s="1244"/>
      <c r="Q8" s="1244"/>
      <c r="R8" s="1246" t="str">
        <f>IFERROR(VLOOKUP(Q8,$X$10:$Y$13,2,FALSE),"")</f>
        <v/>
      </c>
      <c r="S8" s="1247"/>
      <c r="T8" s="527" t="s">
        <v>1018</v>
      </c>
      <c r="U8" s="388"/>
      <c r="V8" s="390"/>
    </row>
    <row r="9" spans="1:31" ht="34.5" customHeight="1" thickBot="1" x14ac:dyDescent="0.25">
      <c r="A9" s="414"/>
      <c r="B9" s="415"/>
      <c r="C9" s="415"/>
      <c r="D9" s="415"/>
      <c r="E9" s="415"/>
      <c r="F9" s="415"/>
      <c r="G9" s="415"/>
      <c r="H9" s="415"/>
      <c r="I9" s="415" t="s">
        <v>23</v>
      </c>
      <c r="J9" s="415"/>
      <c r="K9" s="415" t="str">
        <f t="shared" ref="K9:K45" si="0">IFERROR(VLOOKUP(J9,$X$10:$Y$13,2,FALSE),"")</f>
        <v/>
      </c>
      <c r="L9" s="415"/>
      <c r="M9" s="415"/>
      <c r="N9" s="415" t="str">
        <f t="shared" ref="N9:N30" si="1">IFERROR(VLOOKUP(M9,$X$10:$Y$13,2,FALSE),"")</f>
        <v/>
      </c>
      <c r="O9" s="415"/>
      <c r="P9" s="415"/>
      <c r="Q9" s="415"/>
      <c r="R9" s="415" t="str">
        <f t="shared" ref="R9:R30" si="2">IFERROR(VLOOKUP(Q9,$X$10:$Y$13,2,FALSE),"")</f>
        <v/>
      </c>
      <c r="S9" s="415"/>
      <c r="T9" s="416"/>
      <c r="U9" s="416"/>
      <c r="V9" s="417"/>
    </row>
    <row r="10" spans="1:31" x14ac:dyDescent="0.2">
      <c r="I10" s="8" t="s">
        <v>23</v>
      </c>
      <c r="K10" s="8" t="str">
        <f t="shared" si="0"/>
        <v/>
      </c>
      <c r="N10" s="8" t="str">
        <f t="shared" si="1"/>
        <v/>
      </c>
      <c r="R10" s="8" t="str">
        <f t="shared" si="2"/>
        <v/>
      </c>
      <c r="X10" s="14" t="s">
        <v>198</v>
      </c>
      <c r="Y10" s="14">
        <v>0</v>
      </c>
    </row>
    <row r="11" spans="1:31" x14ac:dyDescent="0.2">
      <c r="I11" s="8" t="s">
        <v>23</v>
      </c>
      <c r="K11" s="8" t="str">
        <f t="shared" si="0"/>
        <v/>
      </c>
      <c r="N11" s="8" t="str">
        <f t="shared" si="1"/>
        <v/>
      </c>
      <c r="R11" s="8" t="str">
        <f t="shared" si="2"/>
        <v/>
      </c>
      <c r="X11" s="14" t="s">
        <v>199</v>
      </c>
      <c r="Y11" s="14">
        <v>1</v>
      </c>
    </row>
    <row r="12" spans="1:31" x14ac:dyDescent="0.2">
      <c r="I12" s="8" t="s">
        <v>23</v>
      </c>
      <c r="K12" s="8" t="str">
        <f t="shared" si="0"/>
        <v/>
      </c>
      <c r="N12" s="8" t="str">
        <f t="shared" si="1"/>
        <v/>
      </c>
      <c r="R12" s="8" t="str">
        <f t="shared" si="2"/>
        <v/>
      </c>
      <c r="X12" s="14" t="s">
        <v>200</v>
      </c>
      <c r="Y12" s="14">
        <v>2</v>
      </c>
    </row>
    <row r="13" spans="1:31" x14ac:dyDescent="0.2">
      <c r="I13" s="8" t="s">
        <v>23</v>
      </c>
      <c r="K13" s="8" t="str">
        <f t="shared" si="0"/>
        <v/>
      </c>
      <c r="N13" s="8" t="str">
        <f t="shared" si="1"/>
        <v/>
      </c>
      <c r="R13" s="8" t="str">
        <f t="shared" si="2"/>
        <v/>
      </c>
      <c r="X13" s="14" t="s">
        <v>201</v>
      </c>
      <c r="Y13" s="14">
        <v>3</v>
      </c>
    </row>
    <row r="14" spans="1:31" x14ac:dyDescent="0.2">
      <c r="I14" s="8" t="s">
        <v>23</v>
      </c>
      <c r="K14" s="8" t="str">
        <f t="shared" si="0"/>
        <v/>
      </c>
      <c r="N14" s="8" t="str">
        <f t="shared" si="1"/>
        <v/>
      </c>
      <c r="R14" s="8" t="str">
        <f t="shared" si="2"/>
        <v/>
      </c>
    </row>
    <row r="15" spans="1:31" x14ac:dyDescent="0.2">
      <c r="I15" s="8" t="s">
        <v>23</v>
      </c>
      <c r="K15" s="8" t="str">
        <f t="shared" si="0"/>
        <v/>
      </c>
      <c r="N15" s="8" t="str">
        <f t="shared" si="1"/>
        <v/>
      </c>
      <c r="R15" s="8" t="str">
        <f t="shared" si="2"/>
        <v/>
      </c>
    </row>
    <row r="16" spans="1:31" x14ac:dyDescent="0.2">
      <c r="I16" s="8" t="s">
        <v>23</v>
      </c>
      <c r="K16" s="8" t="str">
        <f t="shared" si="0"/>
        <v/>
      </c>
      <c r="L16" s="14"/>
      <c r="M16" s="14"/>
      <c r="N16" s="14"/>
      <c r="O16" s="14"/>
      <c r="P16" s="14"/>
      <c r="Q16" s="14"/>
      <c r="R16" s="14"/>
      <c r="S16" s="14"/>
      <c r="T16" s="388"/>
      <c r="U16" s="388"/>
      <c r="V16" s="14"/>
    </row>
    <row r="17" spans="9:22" ht="15" x14ac:dyDescent="0.2">
      <c r="I17" s="8" t="s">
        <v>23</v>
      </c>
      <c r="K17" s="8" t="str">
        <f t="shared" si="0"/>
        <v/>
      </c>
      <c r="L17" s="14"/>
      <c r="M17" s="550"/>
      <c r="N17" s="550"/>
      <c r="O17" s="550"/>
      <c r="P17" s="14"/>
      <c r="Q17" s="14"/>
      <c r="R17" s="14"/>
      <c r="S17" s="14"/>
      <c r="T17" s="388"/>
      <c r="U17" s="388"/>
      <c r="V17" s="14"/>
    </row>
    <row r="18" spans="9:22" ht="15" x14ac:dyDescent="0.2">
      <c r="I18" s="8" t="s">
        <v>23</v>
      </c>
      <c r="K18" s="8" t="str">
        <f t="shared" si="0"/>
        <v/>
      </c>
      <c r="L18" s="14"/>
      <c r="M18" s="969"/>
      <c r="N18" s="970"/>
      <c r="O18" s="967"/>
      <c r="P18" s="14"/>
      <c r="Q18" s="14"/>
      <c r="R18" s="14"/>
      <c r="S18" s="14"/>
      <c r="T18" s="388"/>
      <c r="U18" s="388"/>
      <c r="V18" s="14"/>
    </row>
    <row r="19" spans="9:22" x14ac:dyDescent="0.2">
      <c r="I19" s="8" t="s">
        <v>23</v>
      </c>
      <c r="K19" s="8" t="str">
        <f t="shared" si="0"/>
        <v/>
      </c>
      <c r="L19" s="14"/>
      <c r="M19" s="14"/>
      <c r="N19" s="14"/>
      <c r="O19" s="14"/>
      <c r="P19" s="14"/>
      <c r="Q19" s="14"/>
      <c r="R19" s="14"/>
      <c r="S19" s="14"/>
      <c r="T19" s="388"/>
      <c r="U19" s="388"/>
      <c r="V19" s="14"/>
    </row>
    <row r="20" spans="9:22" x14ac:dyDescent="0.2">
      <c r="I20" s="8" t="s">
        <v>23</v>
      </c>
      <c r="K20" s="8" t="str">
        <f t="shared" si="0"/>
        <v/>
      </c>
      <c r="N20" s="8" t="str">
        <f t="shared" si="1"/>
        <v/>
      </c>
      <c r="R20" s="8" t="str">
        <f t="shared" si="2"/>
        <v/>
      </c>
    </row>
    <row r="21" spans="9:22" x14ac:dyDescent="0.2">
      <c r="I21" s="8" t="s">
        <v>23</v>
      </c>
      <c r="K21" s="8" t="str">
        <f t="shared" si="0"/>
        <v/>
      </c>
      <c r="N21" s="8" t="str">
        <f t="shared" si="1"/>
        <v/>
      </c>
      <c r="R21" s="8" t="str">
        <f t="shared" si="2"/>
        <v/>
      </c>
    </row>
    <row r="22" spans="9:22" x14ac:dyDescent="0.2">
      <c r="I22" s="8" t="s">
        <v>23</v>
      </c>
      <c r="K22" s="8" t="str">
        <f t="shared" si="0"/>
        <v/>
      </c>
      <c r="N22" s="8" t="str">
        <f t="shared" si="1"/>
        <v/>
      </c>
      <c r="R22" s="8" t="str">
        <f t="shared" si="2"/>
        <v/>
      </c>
    </row>
    <row r="23" spans="9:22" x14ac:dyDescent="0.2">
      <c r="I23" s="8" t="s">
        <v>23</v>
      </c>
      <c r="K23" s="8" t="str">
        <f t="shared" si="0"/>
        <v/>
      </c>
      <c r="N23" s="8" t="str">
        <f t="shared" si="1"/>
        <v/>
      </c>
      <c r="R23" s="8" t="str">
        <f t="shared" si="2"/>
        <v/>
      </c>
    </row>
    <row r="24" spans="9:22" x14ac:dyDescent="0.2">
      <c r="I24" s="8" t="s">
        <v>23</v>
      </c>
      <c r="K24" s="8" t="str">
        <f t="shared" si="0"/>
        <v/>
      </c>
      <c r="N24" s="8" t="str">
        <f t="shared" si="1"/>
        <v/>
      </c>
      <c r="R24" s="8" t="str">
        <f t="shared" si="2"/>
        <v/>
      </c>
    </row>
    <row r="25" spans="9:22" x14ac:dyDescent="0.2">
      <c r="I25" s="8" t="s">
        <v>23</v>
      </c>
      <c r="K25" s="8" t="str">
        <f t="shared" si="0"/>
        <v/>
      </c>
      <c r="N25" s="8" t="str">
        <f t="shared" si="1"/>
        <v/>
      </c>
      <c r="R25" s="8" t="str">
        <f t="shared" si="2"/>
        <v/>
      </c>
    </row>
    <row r="26" spans="9:22" x14ac:dyDescent="0.2">
      <c r="I26" s="8" t="s">
        <v>23</v>
      </c>
      <c r="K26" s="8" t="str">
        <f t="shared" si="0"/>
        <v/>
      </c>
      <c r="N26" s="8" t="str">
        <f t="shared" si="1"/>
        <v/>
      </c>
      <c r="R26" s="8" t="str">
        <f t="shared" si="2"/>
        <v/>
      </c>
    </row>
    <row r="27" spans="9:22" x14ac:dyDescent="0.2">
      <c r="I27" s="8" t="s">
        <v>23</v>
      </c>
      <c r="K27" s="8" t="str">
        <f t="shared" si="0"/>
        <v/>
      </c>
      <c r="N27" s="8" t="str">
        <f t="shared" si="1"/>
        <v/>
      </c>
      <c r="R27" s="8" t="str">
        <f t="shared" si="2"/>
        <v/>
      </c>
    </row>
    <row r="28" spans="9:22" x14ac:dyDescent="0.2">
      <c r="I28" s="8" t="s">
        <v>23</v>
      </c>
      <c r="K28" s="8" t="str">
        <f t="shared" si="0"/>
        <v/>
      </c>
      <c r="N28" s="8" t="str">
        <f t="shared" si="1"/>
        <v/>
      </c>
      <c r="R28" s="8" t="str">
        <f t="shared" si="2"/>
        <v/>
      </c>
    </row>
    <row r="29" spans="9:22" x14ac:dyDescent="0.2">
      <c r="I29" s="8" t="s">
        <v>23</v>
      </c>
      <c r="K29" s="8" t="str">
        <f t="shared" si="0"/>
        <v/>
      </c>
      <c r="N29" s="8" t="str">
        <f t="shared" si="1"/>
        <v/>
      </c>
      <c r="R29" s="8" t="str">
        <f t="shared" si="2"/>
        <v/>
      </c>
    </row>
    <row r="30" spans="9:22" x14ac:dyDescent="0.2">
      <c r="I30" s="8" t="s">
        <v>23</v>
      </c>
      <c r="K30" s="8" t="str">
        <f t="shared" si="0"/>
        <v/>
      </c>
      <c r="N30" s="8" t="str">
        <f t="shared" si="1"/>
        <v/>
      </c>
      <c r="R30" s="8" t="str">
        <f t="shared" si="2"/>
        <v/>
      </c>
    </row>
    <row r="31" spans="9:22" x14ac:dyDescent="0.2">
      <c r="I31" s="8" t="s">
        <v>23</v>
      </c>
      <c r="K31" s="8" t="str">
        <f t="shared" si="0"/>
        <v/>
      </c>
      <c r="N31" s="8" t="str">
        <f t="shared" ref="N31:N45" si="3">IFERROR(VLOOKUP(M31,$X$10:$Y$13,2,FALSE),"")</f>
        <v/>
      </c>
      <c r="R31" s="8" t="str">
        <f t="shared" ref="R31:R45" si="4">IFERROR(VLOOKUP(Q31,$X$10:$Y$13,2,FALSE),"")</f>
        <v/>
      </c>
    </row>
    <row r="32" spans="9:22" x14ac:dyDescent="0.2">
      <c r="I32" s="8" t="s">
        <v>23</v>
      </c>
      <c r="K32" s="8" t="str">
        <f t="shared" si="0"/>
        <v/>
      </c>
      <c r="N32" s="8" t="str">
        <f t="shared" si="3"/>
        <v/>
      </c>
      <c r="R32" s="8" t="str">
        <f t="shared" si="4"/>
        <v/>
      </c>
    </row>
    <row r="33" spans="9:18" x14ac:dyDescent="0.2">
      <c r="I33" s="8" t="s">
        <v>23</v>
      </c>
      <c r="K33" s="8" t="str">
        <f t="shared" si="0"/>
        <v/>
      </c>
      <c r="N33" s="8" t="str">
        <f t="shared" si="3"/>
        <v/>
      </c>
      <c r="R33" s="8" t="str">
        <f t="shared" si="4"/>
        <v/>
      </c>
    </row>
    <row r="34" spans="9:18" x14ac:dyDescent="0.2">
      <c r="I34" s="8" t="s">
        <v>23</v>
      </c>
      <c r="K34" s="8" t="str">
        <f t="shared" si="0"/>
        <v/>
      </c>
      <c r="N34" s="8" t="str">
        <f t="shared" si="3"/>
        <v/>
      </c>
      <c r="R34" s="8" t="str">
        <f t="shared" si="4"/>
        <v/>
      </c>
    </row>
    <row r="35" spans="9:18" x14ac:dyDescent="0.2">
      <c r="I35" s="8" t="s">
        <v>23</v>
      </c>
      <c r="K35" s="8" t="str">
        <f t="shared" si="0"/>
        <v/>
      </c>
      <c r="N35" s="8" t="str">
        <f t="shared" si="3"/>
        <v/>
      </c>
      <c r="R35" s="8" t="str">
        <f t="shared" si="4"/>
        <v/>
      </c>
    </row>
    <row r="36" spans="9:18" x14ac:dyDescent="0.2">
      <c r="I36" s="8" t="s">
        <v>23</v>
      </c>
      <c r="K36" s="8" t="str">
        <f t="shared" si="0"/>
        <v/>
      </c>
      <c r="N36" s="8" t="str">
        <f t="shared" si="3"/>
        <v/>
      </c>
      <c r="R36" s="8" t="str">
        <f t="shared" si="4"/>
        <v/>
      </c>
    </row>
    <row r="37" spans="9:18" x14ac:dyDescent="0.2">
      <c r="I37" s="8" t="s">
        <v>23</v>
      </c>
      <c r="K37" s="8" t="str">
        <f t="shared" si="0"/>
        <v/>
      </c>
      <c r="N37" s="8" t="str">
        <f t="shared" si="3"/>
        <v/>
      </c>
      <c r="R37" s="8" t="str">
        <f t="shared" si="4"/>
        <v/>
      </c>
    </row>
    <row r="38" spans="9:18" x14ac:dyDescent="0.2">
      <c r="I38" s="8" t="s">
        <v>23</v>
      </c>
      <c r="K38" s="8" t="str">
        <f t="shared" si="0"/>
        <v/>
      </c>
      <c r="N38" s="8" t="str">
        <f t="shared" si="3"/>
        <v/>
      </c>
      <c r="R38" s="8" t="str">
        <f t="shared" si="4"/>
        <v/>
      </c>
    </row>
    <row r="39" spans="9:18" x14ac:dyDescent="0.2">
      <c r="I39" s="8" t="s">
        <v>23</v>
      </c>
      <c r="K39" s="8" t="str">
        <f t="shared" si="0"/>
        <v/>
      </c>
      <c r="N39" s="8" t="str">
        <f t="shared" si="3"/>
        <v/>
      </c>
      <c r="R39" s="8" t="str">
        <f t="shared" si="4"/>
        <v/>
      </c>
    </row>
    <row r="40" spans="9:18" x14ac:dyDescent="0.2">
      <c r="I40" s="8" t="s">
        <v>23</v>
      </c>
      <c r="K40" s="8" t="str">
        <f t="shared" si="0"/>
        <v/>
      </c>
      <c r="N40" s="8" t="str">
        <f t="shared" si="3"/>
        <v/>
      </c>
      <c r="R40" s="8" t="str">
        <f t="shared" si="4"/>
        <v/>
      </c>
    </row>
    <row r="41" spans="9:18" x14ac:dyDescent="0.2">
      <c r="I41" s="8" t="s">
        <v>23</v>
      </c>
      <c r="K41" s="8" t="str">
        <f t="shared" si="0"/>
        <v/>
      </c>
      <c r="N41" s="8" t="str">
        <f t="shared" si="3"/>
        <v/>
      </c>
      <c r="R41" s="8" t="str">
        <f t="shared" si="4"/>
        <v/>
      </c>
    </row>
    <row r="42" spans="9:18" x14ac:dyDescent="0.2">
      <c r="I42" s="8" t="s">
        <v>23</v>
      </c>
      <c r="K42" s="8" t="str">
        <f t="shared" si="0"/>
        <v/>
      </c>
      <c r="N42" s="8" t="str">
        <f t="shared" si="3"/>
        <v/>
      </c>
      <c r="R42" s="8" t="str">
        <f t="shared" si="4"/>
        <v/>
      </c>
    </row>
    <row r="43" spans="9:18" x14ac:dyDescent="0.2">
      <c r="I43" s="8" t="s">
        <v>23</v>
      </c>
      <c r="K43" s="8" t="str">
        <f t="shared" si="0"/>
        <v/>
      </c>
      <c r="N43" s="8" t="str">
        <f t="shared" si="3"/>
        <v/>
      </c>
      <c r="R43" s="8" t="str">
        <f t="shared" si="4"/>
        <v/>
      </c>
    </row>
    <row r="44" spans="9:18" x14ac:dyDescent="0.2">
      <c r="I44" s="8" t="s">
        <v>23</v>
      </c>
      <c r="K44" s="8" t="str">
        <f t="shared" si="0"/>
        <v/>
      </c>
      <c r="N44" s="8" t="str">
        <f t="shared" si="3"/>
        <v/>
      </c>
      <c r="R44" s="8" t="str">
        <f t="shared" si="4"/>
        <v/>
      </c>
    </row>
    <row r="45" spans="9:18" x14ac:dyDescent="0.2">
      <c r="I45" s="8" t="s">
        <v>23</v>
      </c>
      <c r="K45" s="8" t="str">
        <f t="shared" si="0"/>
        <v/>
      </c>
      <c r="N45" s="8" t="str">
        <f t="shared" si="3"/>
        <v/>
      </c>
      <c r="R45" s="8" t="str">
        <f t="shared" si="4"/>
        <v/>
      </c>
    </row>
    <row r="50" spans="1:17" x14ac:dyDescent="0.2">
      <c r="A50" s="7"/>
      <c r="B50" s="7"/>
      <c r="C50" s="7"/>
      <c r="D50" s="7"/>
      <c r="E50" s="7"/>
      <c r="F50" s="7"/>
      <c r="G50" s="7"/>
      <c r="H50" s="7"/>
      <c r="I50" s="7"/>
      <c r="J50" s="7"/>
      <c r="K50" s="7"/>
      <c r="L50" s="7"/>
      <c r="M50" s="7"/>
      <c r="N50" s="7"/>
      <c r="P50" s="7"/>
      <c r="Q50" s="7"/>
    </row>
  </sheetData>
  <sheetProtection algorithmName="SHA-512" hashValue="TjdnI4lsHh9nEfD2nTq3Uc2nnWVbZ1d3j6vXkkOPIQ0Zk1feT1SU08k31nF0299LldyW+PGxUqwh+SpQUIKSgg==" saltValue="+UBtw5fReyi55oY1jBteYw==" spinCount="100000" sheet="1" objects="1" scenarios="1" formatColumns="0" formatRows="0" sort="0" autoFilter="0"/>
  <autoFilter ref="A6:T8"/>
  <dataConsolidate link="1"/>
  <mergeCells count="4">
    <mergeCell ref="M5:O5"/>
    <mergeCell ref="R5:S5"/>
    <mergeCell ref="A1:L1"/>
    <mergeCell ref="A5:L5"/>
  </mergeCells>
  <dataValidations count="7">
    <dataValidation type="list" allowBlank="1" showInputMessage="1" showErrorMessage="1" sqref="A9:A45">
      <formula1>INDIRECT($A$2)</formula1>
    </dataValidation>
    <dataValidation type="list" allowBlank="1" showInputMessage="1" showErrorMessage="1" sqref="B9:C45">
      <formula1>INDIRECT(#REF!)</formula1>
    </dataValidation>
    <dataValidation type="list" allowBlank="1" showInputMessage="1" showErrorMessage="1" sqref="J9:J45 M19:M45 M9:M16 P9:Q45">
      <formula1>$X$10:$X$13</formula1>
    </dataValidation>
    <dataValidation type="list" allowBlank="1" showInputMessage="1" showErrorMessage="1" errorTitle="X-Author for Excel" error="Please select either TRUE or FALSE from the dropdown." promptTitle="X-Author for Excel" sqref="G7:G8">
      <formula1>"TRUE,FALSE"</formula1>
    </dataValidation>
    <dataValidation type="custom" allowBlank="1" showInputMessage="1" showErrorMessage="1" errorTitle="X-Author for Excel" error="Id and Lookup fields are not editable." promptTitle="X-Author for Excel" sqref="H7:H8 T7:T8">
      <formula1>""</formula1>
    </dataValidation>
    <dataValidation type="list" allowBlank="1" showInputMessage="1" showErrorMessage="1" errorTitle="X-Author for Excel" error="Please select a value from the drop-down." promptTitle="X-Author for Excel" sqref="J7:J8">
      <formula1>IF(IFERROR(ROWS(INDIRECT(SUBSTITUTE("AIM_WPTM_Results__c.AIM_Progress_Status_PR__c"," ","_"))),-1) &lt; 0, XAuthorInvalidPicklistData,INDIRECT(SUBSTITUTE("AIM_WPTM_Results__c.AIM_Progress_Status_PR__c"," ","_")))</formula1>
    </dataValidation>
    <dataValidation type="list" allowBlank="1" showInputMessage="1" showErrorMessage="1" errorTitle="X-Author for Excel" error="Please select a value from the drop-down." promptTitle="X-Author for Excel" sqref="M7:M8">
      <formula1>IF(IFERROR(ROWS(INDIRECT(SUBSTITUTE("AIM_WPTM_Results__c.AIM_Progress_Status_LFA__c"," ","_"))),-1) &lt; 0, XAuthorInvalidPicklistData,INDIRECT(SUBSTITUTE("AIM_WPTM_Results__c.AIM_Progress_Status_LFA__c"," ","_")))</formula1>
    </dataValidation>
  </dataValidations>
  <printOptions horizontalCentered="1"/>
  <pageMargins left="0.25" right="0.25" top="0.75" bottom="0.75" header="0.3" footer="0.3"/>
  <pageSetup paperSize="9" scale="26" orientation="landscape" cellComments="asDisplayed" r:id="rId1"/>
  <headerFooter alignWithMargins="0">
    <oddFooter>&amp;L&amp;A&amp;R&amp;P</oddFooter>
  </headerFooter>
  <colBreaks count="1" manualBreakCount="1">
    <brk id="15" max="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sheetPr>
  <dimension ref="A1:R54"/>
  <sheetViews>
    <sheetView showGridLines="0" zoomScale="70" zoomScaleNormal="70" zoomScaleSheetLayoutView="70" workbookViewId="0">
      <selection activeCell="E7" sqref="E7"/>
    </sheetView>
  </sheetViews>
  <sheetFormatPr defaultColWidth="9.140625" defaultRowHeight="12.75" x14ac:dyDescent="0.2"/>
  <cols>
    <col min="1" max="1" width="7.85546875" style="19" customWidth="1"/>
    <col min="2" max="2" width="65.42578125" style="145" customWidth="1"/>
    <col min="3" max="3" width="29.5703125" style="19" customWidth="1"/>
    <col min="4" max="4" width="26" style="19" customWidth="1"/>
    <col min="5" max="5" width="34.42578125" style="19" customWidth="1"/>
    <col min="6" max="6" width="26" style="19" customWidth="1"/>
    <col min="7" max="7" width="24.42578125" style="19" customWidth="1"/>
    <col min="8" max="8" width="25.140625" style="19" customWidth="1"/>
    <col min="9" max="9" width="36.140625" style="19" customWidth="1"/>
    <col min="10" max="10" width="23.140625" style="19" hidden="1" customWidth="1"/>
    <col min="11" max="11" width="30.140625" style="19" hidden="1" customWidth="1"/>
    <col min="12" max="12" width="0.140625" style="19" customWidth="1"/>
    <col min="13" max="16384" width="9.140625" style="94"/>
  </cols>
  <sheetData>
    <row r="1" spans="1:18" ht="44.25" customHeight="1" thickBot="1" x14ac:dyDescent="0.25">
      <c r="A1" s="1434" t="str">
        <f>IF(CoverSheet!J12="N/A","Progress Report","Progress Report with Disbursement Request")</f>
        <v>Progress Report with Disbursement Request</v>
      </c>
      <c r="B1" s="1434"/>
      <c r="C1" s="1434"/>
      <c r="D1" s="1434"/>
      <c r="E1" s="1434"/>
      <c r="F1" s="1434"/>
      <c r="G1" s="1434"/>
      <c r="H1" s="1434"/>
      <c r="I1" s="1434"/>
      <c r="J1" s="1434"/>
      <c r="K1" s="1434"/>
      <c r="L1" s="1434"/>
    </row>
    <row r="2" spans="1:18" s="133" customFormat="1" ht="33.75" customHeight="1" x14ac:dyDescent="0.2">
      <c r="A2" s="1467" t="s">
        <v>162</v>
      </c>
      <c r="B2" s="1468"/>
      <c r="C2" s="1471" t="str">
        <f>CoverSheet!F9</f>
        <v>Period of Financial Reporting</v>
      </c>
      <c r="D2" s="1472"/>
      <c r="E2" s="821" t="str">
        <f>CoverSheet!I9</f>
        <v>Beginning Date:</v>
      </c>
      <c r="F2" s="822">
        <f>IF(CoverSheet!J9="","N/A",CoverSheet!J9)</f>
        <v>42736</v>
      </c>
      <c r="G2" s="821" t="str">
        <f>CoverSheet!K9</f>
        <v>End Date:</v>
      </c>
      <c r="H2" s="823">
        <f>IF(CoverSheet!L9="","N/A",CoverSheet!L9)</f>
        <v>43100</v>
      </c>
      <c r="I2" s="824"/>
      <c r="J2" s="820"/>
      <c r="K2" s="820"/>
      <c r="L2" s="820"/>
    </row>
    <row r="3" spans="1:18" s="133" customFormat="1" ht="31.5" customHeight="1" thickBot="1" x14ac:dyDescent="0.25">
      <c r="A3" s="1469"/>
      <c r="B3" s="1470"/>
      <c r="C3" s="1473" t="s">
        <v>538</v>
      </c>
      <c r="D3" s="1474"/>
      <c r="E3" s="825" t="str">
        <f>CoverSheet!I9</f>
        <v>Beginning Date:</v>
      </c>
      <c r="F3" s="826">
        <f>IF(_00de7129_653b_4d69_830e_62f54dcfdb6c="","N/A",_00de7129_653b_4d69_830e_62f54dcfdb6c)</f>
        <v>42736</v>
      </c>
      <c r="G3" s="825" t="str">
        <f>CoverSheet!K9</f>
        <v>End Date:</v>
      </c>
      <c r="H3" s="827">
        <f>IF(CoverSheet!L9="","N/A",CoverSheet!L9)</f>
        <v>43100</v>
      </c>
      <c r="I3" s="828"/>
      <c r="J3" s="820"/>
      <c r="K3" s="820"/>
      <c r="L3" s="820"/>
    </row>
    <row r="4" spans="1:18" ht="29.25" customHeight="1" thickBot="1" x14ac:dyDescent="0.25">
      <c r="B4" s="1458" t="s">
        <v>118</v>
      </c>
      <c r="C4" s="1459"/>
      <c r="D4" s="1459"/>
      <c r="E4" s="1459"/>
      <c r="F4" s="1459"/>
      <c r="G4" s="1459"/>
      <c r="H4" s="1459"/>
      <c r="I4" s="1459"/>
      <c r="J4" s="1459"/>
      <c r="K4" s="1459"/>
      <c r="L4" s="1460"/>
      <c r="M4" s="115"/>
    </row>
    <row r="5" spans="1:18" ht="29.25" customHeight="1" x14ac:dyDescent="0.2">
      <c r="A5" s="117"/>
      <c r="B5" s="168"/>
      <c r="C5" s="1455" t="s">
        <v>70</v>
      </c>
      <c r="D5" s="1456"/>
      <c r="E5" s="1457"/>
      <c r="F5" s="1461" t="s">
        <v>115</v>
      </c>
      <c r="G5" s="1462"/>
      <c r="H5" s="1462"/>
      <c r="I5" s="1463"/>
      <c r="J5" s="1464" t="s">
        <v>101</v>
      </c>
      <c r="K5" s="1465"/>
      <c r="L5" s="1466"/>
    </row>
    <row r="6" spans="1:18" ht="76.5" customHeight="1" x14ac:dyDescent="0.2">
      <c r="A6" s="169" t="s">
        <v>113</v>
      </c>
      <c r="B6" s="170" t="s">
        <v>116</v>
      </c>
      <c r="C6" s="327" t="s">
        <v>119</v>
      </c>
      <c r="D6" s="327" t="s">
        <v>20</v>
      </c>
      <c r="E6" s="317" t="s">
        <v>27</v>
      </c>
      <c r="F6" s="171" t="s">
        <v>133</v>
      </c>
      <c r="G6" s="172" t="s">
        <v>234</v>
      </c>
      <c r="H6" s="167" t="s">
        <v>71</v>
      </c>
      <c r="I6" s="173" t="s">
        <v>27</v>
      </c>
      <c r="J6" s="174" t="s">
        <v>163</v>
      </c>
      <c r="K6" s="175" t="s">
        <v>72</v>
      </c>
      <c r="L6" s="176" t="s">
        <v>27</v>
      </c>
    </row>
    <row r="7" spans="1:18" ht="90" customHeight="1" thickBot="1" x14ac:dyDescent="0.25">
      <c r="A7" s="766" t="s">
        <v>451</v>
      </c>
      <c r="B7" s="181" t="s">
        <v>73</v>
      </c>
      <c r="C7" s="673">
        <v>0</v>
      </c>
      <c r="D7" s="674">
        <f>444559+428004+299116</f>
        <v>1171679</v>
      </c>
      <c r="E7" s="316" t="s">
        <v>1711</v>
      </c>
      <c r="F7" s="675"/>
      <c r="G7" s="676">
        <v>0</v>
      </c>
      <c r="H7" s="677">
        <f>D7+G7</f>
        <v>1171679</v>
      </c>
      <c r="I7" s="906"/>
      <c r="J7" s="678">
        <v>0</v>
      </c>
      <c r="K7" s="679">
        <f>H7+J7</f>
        <v>1171679</v>
      </c>
      <c r="L7" s="182"/>
    </row>
    <row r="8" spans="1:18" ht="39.75" customHeight="1" x14ac:dyDescent="0.2">
      <c r="A8" s="767"/>
      <c r="B8" s="183" t="s">
        <v>190</v>
      </c>
      <c r="C8" s="184"/>
      <c r="D8" s="185"/>
      <c r="E8" s="185"/>
      <c r="F8" s="185"/>
      <c r="G8" s="185"/>
      <c r="H8" s="185"/>
      <c r="I8" s="907"/>
      <c r="J8" s="185"/>
      <c r="K8" s="186"/>
      <c r="L8" s="187"/>
    </row>
    <row r="9" spans="1:18" ht="39.75" customHeight="1" x14ac:dyDescent="0.2">
      <c r="A9" s="768"/>
      <c r="B9" s="188" t="s">
        <v>74</v>
      </c>
      <c r="C9" s="189"/>
      <c r="D9" s="189"/>
      <c r="E9" s="189"/>
      <c r="F9" s="189"/>
      <c r="G9" s="189"/>
      <c r="H9" s="189"/>
      <c r="I9" s="908"/>
      <c r="J9" s="189"/>
      <c r="K9" s="189"/>
      <c r="L9" s="190"/>
    </row>
    <row r="10" spans="1:18" ht="39.75" customHeight="1" x14ac:dyDescent="0.2">
      <c r="A10" s="766" t="s">
        <v>452</v>
      </c>
      <c r="B10" s="191" t="s">
        <v>215</v>
      </c>
      <c r="C10" s="680">
        <v>0</v>
      </c>
      <c r="D10" s="681">
        <v>3953485</v>
      </c>
      <c r="E10" s="192"/>
      <c r="F10" s="678">
        <v>0</v>
      </c>
      <c r="G10" s="682">
        <v>0</v>
      </c>
      <c r="H10" s="683">
        <f>D10+G10</f>
        <v>3953485</v>
      </c>
      <c r="I10" s="199"/>
      <c r="J10" s="678">
        <v>0</v>
      </c>
      <c r="K10" s="683">
        <f>H10+J10</f>
        <v>3953485</v>
      </c>
      <c r="L10" s="193"/>
    </row>
    <row r="11" spans="1:18" ht="39.75" customHeight="1" x14ac:dyDescent="0.2">
      <c r="A11" s="766" t="s">
        <v>453</v>
      </c>
      <c r="B11" s="191" t="s">
        <v>117</v>
      </c>
      <c r="C11" s="680">
        <v>0</v>
      </c>
      <c r="D11" s="681">
        <f>854012+25000</f>
        <v>879012</v>
      </c>
      <c r="E11" s="192"/>
      <c r="F11" s="678">
        <v>0</v>
      </c>
      <c r="G11" s="682">
        <v>0</v>
      </c>
      <c r="H11" s="683">
        <f>D11+G11</f>
        <v>879012</v>
      </c>
      <c r="I11" s="199"/>
      <c r="J11" s="684">
        <v>0</v>
      </c>
      <c r="K11" s="683">
        <f>H11+J11</f>
        <v>879012</v>
      </c>
      <c r="L11" s="193"/>
    </row>
    <row r="12" spans="1:18" ht="39.75" customHeight="1" x14ac:dyDescent="0.2">
      <c r="A12" s="766" t="s">
        <v>454</v>
      </c>
      <c r="B12" s="194" t="s">
        <v>75</v>
      </c>
      <c r="C12" s="685">
        <v>0</v>
      </c>
      <c r="D12" s="681">
        <v>0</v>
      </c>
      <c r="E12" s="192"/>
      <c r="F12" s="678">
        <v>0</v>
      </c>
      <c r="G12" s="682">
        <v>0</v>
      </c>
      <c r="H12" s="683">
        <f>D12+G12</f>
        <v>0</v>
      </c>
      <c r="I12" s="199"/>
      <c r="J12" s="678">
        <v>0</v>
      </c>
      <c r="K12" s="683">
        <f>H12+J12</f>
        <v>0</v>
      </c>
      <c r="L12" s="193"/>
      <c r="R12" s="116"/>
    </row>
    <row r="13" spans="1:18" ht="39.75" customHeight="1" x14ac:dyDescent="0.2">
      <c r="A13" s="766" t="s">
        <v>455</v>
      </c>
      <c r="B13" s="191" t="s">
        <v>76</v>
      </c>
      <c r="C13" s="680">
        <v>0</v>
      </c>
      <c r="D13" s="681">
        <v>0</v>
      </c>
      <c r="E13" s="192"/>
      <c r="F13" s="678">
        <v>0</v>
      </c>
      <c r="G13" s="682">
        <v>0</v>
      </c>
      <c r="H13" s="683">
        <f>D13+G13</f>
        <v>0</v>
      </c>
      <c r="I13" s="199"/>
      <c r="J13" s="678">
        <v>0</v>
      </c>
      <c r="K13" s="683">
        <f>H13+J13</f>
        <v>0</v>
      </c>
      <c r="L13" s="193"/>
    </row>
    <row r="14" spans="1:18" ht="39.75" customHeight="1" x14ac:dyDescent="0.2">
      <c r="A14" s="766" t="s">
        <v>456</v>
      </c>
      <c r="B14" s="191" t="s">
        <v>77</v>
      </c>
      <c r="C14" s="680">
        <v>0</v>
      </c>
      <c r="D14" s="681">
        <v>32508.04</v>
      </c>
      <c r="E14" s="195"/>
      <c r="F14" s="684">
        <v>0</v>
      </c>
      <c r="G14" s="682">
        <v>0</v>
      </c>
      <c r="H14" s="683">
        <f>D14+G14</f>
        <v>32508.04</v>
      </c>
      <c r="I14" s="199"/>
      <c r="J14" s="678">
        <v>0</v>
      </c>
      <c r="K14" s="683">
        <f>H14+J14</f>
        <v>32508.04</v>
      </c>
      <c r="L14" s="193"/>
    </row>
    <row r="15" spans="1:18" ht="39.75" customHeight="1" thickBot="1" x14ac:dyDescent="0.25">
      <c r="A15" s="766" t="s">
        <v>457</v>
      </c>
      <c r="B15" s="181" t="s">
        <v>123</v>
      </c>
      <c r="C15" s="686">
        <f>SUM(C10:C14)</f>
        <v>0</v>
      </c>
      <c r="D15" s="687">
        <f>SUM(D10:D14)</f>
        <v>4865005.04</v>
      </c>
      <c r="E15" s="196"/>
      <c r="F15" s="688">
        <f>SUM(F10:F14)</f>
        <v>0</v>
      </c>
      <c r="G15" s="689">
        <f>SUM(G10:G14)</f>
        <v>0</v>
      </c>
      <c r="H15" s="687">
        <f>SUM(H10:H14)</f>
        <v>4865005.04</v>
      </c>
      <c r="I15" s="218"/>
      <c r="J15" s="690">
        <f>SUM(J10:J14)</f>
        <v>0</v>
      </c>
      <c r="K15" s="677">
        <f>SUM(K10:K14)</f>
        <v>4865005.04</v>
      </c>
      <c r="L15" s="197"/>
    </row>
    <row r="16" spans="1:18" ht="39.75" customHeight="1" x14ac:dyDescent="0.2">
      <c r="A16" s="769"/>
      <c r="B16" s="183" t="s">
        <v>191</v>
      </c>
      <c r="C16" s="186"/>
      <c r="D16" s="186"/>
      <c r="E16" s="185"/>
      <c r="F16" s="185"/>
      <c r="G16" s="186"/>
      <c r="H16" s="186"/>
      <c r="I16" s="909"/>
      <c r="J16" s="185"/>
      <c r="K16" s="185"/>
      <c r="L16" s="198"/>
    </row>
    <row r="17" spans="1:12" ht="39.75" customHeight="1" x14ac:dyDescent="0.2">
      <c r="A17" s="766"/>
      <c r="B17" s="188" t="s">
        <v>44</v>
      </c>
      <c r="C17" s="189"/>
      <c r="D17" s="189"/>
      <c r="E17" s="189"/>
      <c r="F17" s="189"/>
      <c r="G17" s="189"/>
      <c r="H17" s="189"/>
      <c r="I17" s="908"/>
      <c r="J17" s="189"/>
      <c r="K17" s="189"/>
      <c r="L17" s="190"/>
    </row>
    <row r="18" spans="1:12" ht="39.75" customHeight="1" x14ac:dyDescent="0.2">
      <c r="A18" s="766" t="s">
        <v>458</v>
      </c>
      <c r="B18" s="194" t="s">
        <v>164</v>
      </c>
      <c r="C18" s="680">
        <v>0</v>
      </c>
      <c r="D18" s="681">
        <f>1531621.59766922-25000</f>
        <v>1506621.5976692201</v>
      </c>
      <c r="E18" s="195"/>
      <c r="F18" s="682">
        <v>0</v>
      </c>
      <c r="G18" s="682">
        <v>0</v>
      </c>
      <c r="H18" s="683">
        <f>D18+G18</f>
        <v>1506621.5976692201</v>
      </c>
      <c r="I18" s="910"/>
      <c r="J18" s="682">
        <v>0</v>
      </c>
      <c r="K18" s="683">
        <f>H18+J18</f>
        <v>1506621.5976692201</v>
      </c>
      <c r="L18" s="154"/>
    </row>
    <row r="19" spans="1:12" ht="39.75" customHeight="1" x14ac:dyDescent="0.2">
      <c r="A19" s="766" t="s">
        <v>459</v>
      </c>
      <c r="B19" s="191" t="s">
        <v>117</v>
      </c>
      <c r="C19" s="691">
        <f>C11</f>
        <v>0</v>
      </c>
      <c r="D19" s="683">
        <f>D11</f>
        <v>879012</v>
      </c>
      <c r="E19" s="195"/>
      <c r="F19" s="692">
        <f>F11</f>
        <v>0</v>
      </c>
      <c r="G19" s="682">
        <f>G11</f>
        <v>0</v>
      </c>
      <c r="H19" s="683">
        <f>D19+G19</f>
        <v>879012</v>
      </c>
      <c r="I19" s="199"/>
      <c r="J19" s="692">
        <f>J11</f>
        <v>0</v>
      </c>
      <c r="K19" s="683">
        <f>H19+J19</f>
        <v>879012</v>
      </c>
      <c r="L19" s="193"/>
    </row>
    <row r="20" spans="1:12" ht="39.75" customHeight="1" x14ac:dyDescent="0.2">
      <c r="A20" s="766" t="s">
        <v>460</v>
      </c>
      <c r="B20" s="191" t="s">
        <v>122</v>
      </c>
      <c r="C20" s="680">
        <v>0</v>
      </c>
      <c r="D20" s="682">
        <v>387266.25641925068</v>
      </c>
      <c r="E20" s="195"/>
      <c r="F20" s="684">
        <v>0</v>
      </c>
      <c r="G20" s="682">
        <v>0</v>
      </c>
      <c r="H20" s="683">
        <f>D20+G20</f>
        <v>387266.25641925068</v>
      </c>
      <c r="I20" s="199"/>
      <c r="J20" s="693">
        <v>0</v>
      </c>
      <c r="K20" s="683">
        <f>H20+J20</f>
        <v>387266.25641925068</v>
      </c>
      <c r="L20" s="199"/>
    </row>
    <row r="21" spans="1:12" ht="39.75" customHeight="1" x14ac:dyDescent="0.2">
      <c r="A21" s="766" t="s">
        <v>461</v>
      </c>
      <c r="B21" s="194" t="s">
        <v>152</v>
      </c>
      <c r="C21" s="685">
        <v>0</v>
      </c>
      <c r="D21" s="682">
        <v>0</v>
      </c>
      <c r="E21" s="192"/>
      <c r="F21" s="678">
        <v>0</v>
      </c>
      <c r="G21" s="682">
        <v>0</v>
      </c>
      <c r="H21" s="683">
        <f>D21+G21</f>
        <v>0</v>
      </c>
      <c r="I21" s="199"/>
      <c r="J21" s="693">
        <v>0</v>
      </c>
      <c r="K21" s="683">
        <f>H21+J21</f>
        <v>0</v>
      </c>
      <c r="L21" s="193"/>
    </row>
    <row r="22" spans="1:12" ht="39.75" customHeight="1" thickBot="1" x14ac:dyDescent="0.25">
      <c r="A22" s="766" t="s">
        <v>462</v>
      </c>
      <c r="B22" s="200" t="s">
        <v>165</v>
      </c>
      <c r="C22" s="694">
        <f>SUM(C18:C21)</f>
        <v>0</v>
      </c>
      <c r="D22" s="695">
        <f>SUM(D18:D21)</f>
        <v>2772899.8540884708</v>
      </c>
      <c r="E22" s="920"/>
      <c r="F22" s="696">
        <f>SUM(F18:F21)</f>
        <v>0</v>
      </c>
      <c r="G22" s="689">
        <f>SUM(G18:G21)</f>
        <v>0</v>
      </c>
      <c r="H22" s="689">
        <f>SUM(H18:H21)</f>
        <v>2772899.8540884708</v>
      </c>
      <c r="I22" s="231"/>
      <c r="J22" s="690">
        <f>SUM(J18:J21)</f>
        <v>0</v>
      </c>
      <c r="K22" s="679">
        <f>SUM(K18:K21)</f>
        <v>2772899.8540884708</v>
      </c>
      <c r="L22" s="182"/>
    </row>
    <row r="23" spans="1:12" ht="39.75" customHeight="1" x14ac:dyDescent="0.2">
      <c r="A23" s="769"/>
      <c r="B23" s="201" t="s">
        <v>192</v>
      </c>
      <c r="C23" s="185"/>
      <c r="D23" s="185"/>
      <c r="E23" s="185"/>
      <c r="F23" s="185"/>
      <c r="G23" s="186"/>
      <c r="H23" s="186"/>
      <c r="I23" s="909"/>
      <c r="J23" s="185"/>
      <c r="K23" s="186"/>
      <c r="L23" s="198"/>
    </row>
    <row r="24" spans="1:12" ht="39.75" customHeight="1" x14ac:dyDescent="0.2">
      <c r="A24" s="766" t="s">
        <v>463</v>
      </c>
      <c r="B24" s="191" t="s">
        <v>78</v>
      </c>
      <c r="C24" s="697">
        <v>0</v>
      </c>
      <c r="D24" s="698">
        <v>-196540.66090772301</v>
      </c>
      <c r="E24" s="192" t="s">
        <v>1712</v>
      </c>
      <c r="F24" s="697">
        <v>0</v>
      </c>
      <c r="G24" s="699">
        <v>0</v>
      </c>
      <c r="H24" s="683">
        <f>D24+G24</f>
        <v>-196540.66090772301</v>
      </c>
      <c r="I24" s="199"/>
      <c r="J24" s="693">
        <v>0</v>
      </c>
      <c r="K24" s="683">
        <f>H24+J24</f>
        <v>-196540.66090772301</v>
      </c>
      <c r="L24" s="193"/>
    </row>
    <row r="25" spans="1:12" ht="39.75" customHeight="1" x14ac:dyDescent="0.2">
      <c r="A25" s="766" t="s">
        <v>464</v>
      </c>
      <c r="B25" s="194" t="s">
        <v>79</v>
      </c>
      <c r="C25" s="693">
        <v>0</v>
      </c>
      <c r="D25" s="698">
        <v>13805.321919656824</v>
      </c>
      <c r="E25" s="195"/>
      <c r="F25" s="693">
        <v>0</v>
      </c>
      <c r="G25" s="699">
        <v>0</v>
      </c>
      <c r="H25" s="683">
        <f>D25+G25</f>
        <v>13805.321919656824</v>
      </c>
      <c r="I25" s="199"/>
      <c r="J25" s="693">
        <v>0</v>
      </c>
      <c r="K25" s="683">
        <f>H25+J25</f>
        <v>13805.321919656824</v>
      </c>
      <c r="L25" s="193"/>
    </row>
    <row r="26" spans="1:12" ht="39.75" customHeight="1" x14ac:dyDescent="0.2">
      <c r="A26" s="766" t="s">
        <v>465</v>
      </c>
      <c r="B26" s="194" t="s">
        <v>153</v>
      </c>
      <c r="C26" s="693">
        <v>0</v>
      </c>
      <c r="D26" s="698">
        <v>0</v>
      </c>
      <c r="E26" s="192"/>
      <c r="F26" s="697">
        <v>0</v>
      </c>
      <c r="G26" s="699">
        <v>0</v>
      </c>
      <c r="H26" s="683">
        <f>D26+G26</f>
        <v>0</v>
      </c>
      <c r="I26" s="199"/>
      <c r="J26" s="693">
        <v>0</v>
      </c>
      <c r="K26" s="683">
        <f>H26+J26</f>
        <v>0</v>
      </c>
      <c r="L26" s="193"/>
    </row>
    <row r="27" spans="1:12" ht="39.75" customHeight="1" x14ac:dyDescent="0.2">
      <c r="A27" s="766" t="s">
        <v>466</v>
      </c>
      <c r="B27" s="194" t="s">
        <v>167</v>
      </c>
      <c r="C27" s="693">
        <v>0</v>
      </c>
      <c r="D27" s="698">
        <v>0</v>
      </c>
      <c r="E27" s="192"/>
      <c r="F27" s="697">
        <v>0</v>
      </c>
      <c r="G27" s="699">
        <v>0</v>
      </c>
      <c r="H27" s="683">
        <f>D27+G27</f>
        <v>0</v>
      </c>
      <c r="I27" s="199"/>
      <c r="J27" s="702">
        <v>0</v>
      </c>
      <c r="K27" s="701">
        <f>H27+J27</f>
        <v>0</v>
      </c>
      <c r="L27" s="202"/>
    </row>
    <row r="28" spans="1:12" ht="39.75" customHeight="1" thickBot="1" x14ac:dyDescent="0.25">
      <c r="A28" s="766" t="s">
        <v>594</v>
      </c>
      <c r="B28" s="194" t="s">
        <v>613</v>
      </c>
      <c r="C28" s="693">
        <v>0</v>
      </c>
      <c r="D28" s="698">
        <v>0</v>
      </c>
      <c r="E28" s="192"/>
      <c r="F28" s="697">
        <v>0</v>
      </c>
      <c r="G28" s="699">
        <v>0</v>
      </c>
      <c r="H28" s="683">
        <f>D28+G28</f>
        <v>0</v>
      </c>
      <c r="I28" s="199"/>
      <c r="J28" s="702">
        <v>0</v>
      </c>
      <c r="K28" s="701">
        <f>H28+J28</f>
        <v>0</v>
      </c>
      <c r="L28" s="1069"/>
    </row>
    <row r="29" spans="1:12" ht="39.75" customHeight="1" x14ac:dyDescent="0.2">
      <c r="A29" s="769"/>
      <c r="B29" s="1447" t="s">
        <v>193</v>
      </c>
      <c r="C29" s="1448"/>
      <c r="D29" s="1448"/>
      <c r="E29" s="1448"/>
      <c r="F29" s="1448"/>
      <c r="G29" s="1448"/>
      <c r="H29" s="1448"/>
      <c r="I29" s="1448"/>
      <c r="J29" s="1448"/>
      <c r="K29" s="1448"/>
      <c r="L29" s="1449"/>
    </row>
    <row r="30" spans="1:12" ht="51.75" customHeight="1" x14ac:dyDescent="0.2">
      <c r="A30" s="766" t="s">
        <v>467</v>
      </c>
      <c r="B30" s="188" t="s">
        <v>127</v>
      </c>
      <c r="C30" s="673">
        <v>0</v>
      </c>
      <c r="D30" s="703">
        <f>(D7+D15-D22)+D24+D25+D27-D28</f>
        <v>3081048.846923463</v>
      </c>
      <c r="E30" s="919" t="s">
        <v>1713</v>
      </c>
      <c r="F30" s="704"/>
      <c r="G30" s="703">
        <f>G7+(G15-G22)+G25+G24-G26-G28</f>
        <v>0</v>
      </c>
      <c r="H30" s="703">
        <f>(H7+H15-H22)+H24+H25-H26-H28</f>
        <v>3081048.846923463</v>
      </c>
      <c r="I30" s="911"/>
      <c r="J30" s="703">
        <f>J7+J15-J22+J25+J24</f>
        <v>0</v>
      </c>
      <c r="K30" s="703">
        <f>K7+K15-K22+K25+K24-K26-K28</f>
        <v>3081048.846923463</v>
      </c>
      <c r="L30" s="203"/>
    </row>
    <row r="31" spans="1:12" ht="39.75" customHeight="1" x14ac:dyDescent="0.2">
      <c r="A31" s="766" t="s">
        <v>468</v>
      </c>
      <c r="B31" s="188" t="s">
        <v>128</v>
      </c>
      <c r="C31" s="673">
        <v>0</v>
      </c>
      <c r="D31" s="703">
        <f>'SR_Cash Reconciliation_2E'!H111</f>
        <v>16274.226419250655</v>
      </c>
      <c r="E31" s="919"/>
      <c r="F31" s="705"/>
      <c r="G31" s="703">
        <f>'SR_Cash Reconciliation_2E'!L111</f>
        <v>0</v>
      </c>
      <c r="H31" s="703">
        <f>'SR_Cash Reconciliation_2E'!M111</f>
        <v>16274.226419250655</v>
      </c>
      <c r="I31" s="911"/>
      <c r="J31" s="706">
        <v>0</v>
      </c>
      <c r="K31" s="703">
        <f>+H31+J31</f>
        <v>16274.226419250655</v>
      </c>
      <c r="L31" s="204"/>
    </row>
    <row r="32" spans="1:12" ht="39.75" customHeight="1" thickBot="1" x14ac:dyDescent="0.25">
      <c r="A32" s="766" t="s">
        <v>469</v>
      </c>
      <c r="B32" s="905" t="s">
        <v>120</v>
      </c>
      <c r="C32" s="707">
        <f>C30+C31</f>
        <v>0</v>
      </c>
      <c r="D32" s="687">
        <f>D30+D31</f>
        <v>3097323.0733427135</v>
      </c>
      <c r="E32" s="918"/>
      <c r="F32" s="708">
        <f>F30+F31</f>
        <v>0</v>
      </c>
      <c r="G32" s="687">
        <f>G30+G31</f>
        <v>0</v>
      </c>
      <c r="H32" s="687">
        <f>H30+H31</f>
        <v>3097323.0733427135</v>
      </c>
      <c r="I32" s="912"/>
      <c r="J32" s="686">
        <f>J30+J31</f>
        <v>0</v>
      </c>
      <c r="K32" s="687">
        <f>K30+K31</f>
        <v>3097323.0733427135</v>
      </c>
      <c r="L32" s="347"/>
    </row>
    <row r="33" spans="1:12" ht="15.75" thickBot="1" x14ac:dyDescent="0.25">
      <c r="A33" s="769"/>
      <c r="B33" s="206"/>
      <c r="C33" s="709"/>
      <c r="D33" s="709"/>
      <c r="E33" s="207"/>
      <c r="F33" s="709"/>
      <c r="G33" s="709"/>
      <c r="H33" s="709"/>
      <c r="I33" s="207"/>
      <c r="J33" s="709"/>
      <c r="K33" s="709"/>
      <c r="L33" s="207"/>
    </row>
    <row r="34" spans="1:12" ht="43.5" customHeight="1" thickBot="1" x14ac:dyDescent="0.25">
      <c r="A34" s="766"/>
      <c r="B34" s="1450" t="s">
        <v>121</v>
      </c>
      <c r="C34" s="1451"/>
      <c r="D34" s="1451"/>
      <c r="E34" s="1451"/>
      <c r="F34" s="1451"/>
      <c r="G34" s="1451"/>
      <c r="H34" s="1451"/>
      <c r="I34" s="1451"/>
      <c r="J34" s="1451"/>
      <c r="K34" s="1451"/>
      <c r="L34" s="1452"/>
    </row>
    <row r="35" spans="1:12" ht="36.75" customHeight="1" x14ac:dyDescent="0.2">
      <c r="A35" s="766"/>
      <c r="B35" s="1453"/>
      <c r="C35" s="1455" t="s">
        <v>70</v>
      </c>
      <c r="D35" s="1456"/>
      <c r="E35" s="1457"/>
      <c r="F35" s="1461" t="s">
        <v>115</v>
      </c>
      <c r="G35" s="1462"/>
      <c r="H35" s="1462"/>
      <c r="I35" s="1463"/>
      <c r="J35" s="1475" t="s">
        <v>101</v>
      </c>
      <c r="K35" s="1476"/>
      <c r="L35" s="1477"/>
    </row>
    <row r="36" spans="1:12" ht="50.25" customHeight="1" thickBot="1" x14ac:dyDescent="0.25">
      <c r="A36" s="766"/>
      <c r="B36" s="1454"/>
      <c r="C36" s="327"/>
      <c r="D36" s="327" t="s">
        <v>233</v>
      </c>
      <c r="E36" s="317" t="s">
        <v>27</v>
      </c>
      <c r="F36" s="208"/>
      <c r="G36" s="209" t="s">
        <v>234</v>
      </c>
      <c r="H36" s="180" t="s">
        <v>71</v>
      </c>
      <c r="I36" s="210" t="s">
        <v>27</v>
      </c>
      <c r="J36" s="211" t="s">
        <v>166</v>
      </c>
      <c r="K36" s="175" t="s">
        <v>72</v>
      </c>
      <c r="L36" s="176" t="s">
        <v>27</v>
      </c>
    </row>
    <row r="37" spans="1:12" ht="36" customHeight="1" x14ac:dyDescent="0.2">
      <c r="A37" s="766" t="s">
        <v>470</v>
      </c>
      <c r="B37" s="212" t="s">
        <v>126</v>
      </c>
      <c r="C37" s="213"/>
      <c r="D37" s="698">
        <v>0</v>
      </c>
      <c r="E37" s="192"/>
      <c r="F37" s="710"/>
      <c r="G37" s="699">
        <v>0</v>
      </c>
      <c r="H37" s="683">
        <f>D37+G37</f>
        <v>0</v>
      </c>
      <c r="I37" s="199"/>
      <c r="J37" s="711">
        <v>0</v>
      </c>
      <c r="K37" s="683">
        <f>H37+J37</f>
        <v>0</v>
      </c>
      <c r="L37" s="199"/>
    </row>
    <row r="38" spans="1:12" ht="36" customHeight="1" x14ac:dyDescent="0.2">
      <c r="A38" s="766" t="s">
        <v>471</v>
      </c>
      <c r="B38" s="214" t="s">
        <v>80</v>
      </c>
      <c r="C38" s="213"/>
      <c r="D38" s="698">
        <v>0</v>
      </c>
      <c r="E38" s="195"/>
      <c r="F38" s="712"/>
      <c r="G38" s="699">
        <v>0</v>
      </c>
      <c r="H38" s="683">
        <f>D38+G38</f>
        <v>0</v>
      </c>
      <c r="I38" s="199"/>
      <c r="J38" s="711">
        <v>0</v>
      </c>
      <c r="K38" s="683">
        <f>H38+J38</f>
        <v>0</v>
      </c>
      <c r="L38" s="199"/>
    </row>
    <row r="39" spans="1:12" ht="36" customHeight="1" thickBot="1" x14ac:dyDescent="0.25">
      <c r="A39" s="766" t="s">
        <v>472</v>
      </c>
      <c r="B39" s="215" t="s">
        <v>81</v>
      </c>
      <c r="C39" s="216"/>
      <c r="D39" s="713">
        <v>655915</v>
      </c>
      <c r="E39" s="217"/>
      <c r="F39" s="714"/>
      <c r="G39" s="713">
        <v>0</v>
      </c>
      <c r="H39" s="715">
        <f>D39+G39</f>
        <v>655915</v>
      </c>
      <c r="I39" s="218"/>
      <c r="J39" s="716">
        <v>0</v>
      </c>
      <c r="K39" s="717">
        <f>H39+J39</f>
        <v>655915</v>
      </c>
      <c r="L39" s="218"/>
    </row>
    <row r="40" spans="1:12" ht="15.75" thickBot="1" x14ac:dyDescent="0.25">
      <c r="A40" s="770"/>
      <c r="B40" s="206"/>
      <c r="C40" s="709"/>
      <c r="D40" s="709"/>
      <c r="E40" s="207"/>
      <c r="F40" s="709"/>
      <c r="G40" s="709"/>
      <c r="H40" s="709"/>
      <c r="I40" s="913"/>
      <c r="J40" s="709"/>
      <c r="K40" s="709"/>
      <c r="L40" s="207"/>
    </row>
    <row r="41" spans="1:12" ht="43.5" customHeight="1" thickBot="1" x14ac:dyDescent="0.25">
      <c r="A41" s="766"/>
      <c r="B41" s="1478" t="s">
        <v>616</v>
      </c>
      <c r="C41" s="1451"/>
      <c r="D41" s="1451"/>
      <c r="E41" s="1451"/>
      <c r="F41" s="1451"/>
      <c r="G41" s="1451"/>
      <c r="H41" s="1451"/>
      <c r="I41" s="1451"/>
      <c r="J41" s="1451"/>
      <c r="K41" s="1451"/>
      <c r="L41" s="1452"/>
    </row>
    <row r="42" spans="1:12" ht="41.45" customHeight="1" x14ac:dyDescent="0.2">
      <c r="A42" s="766" t="s">
        <v>473</v>
      </c>
      <c r="B42" s="188" t="s">
        <v>609</v>
      </c>
      <c r="C42" s="673">
        <v>0</v>
      </c>
      <c r="D42" s="718">
        <v>258298.63822235935</v>
      </c>
      <c r="E42" s="917"/>
      <c r="F42" s="673">
        <v>0</v>
      </c>
      <c r="G42" s="719">
        <v>0</v>
      </c>
      <c r="H42" s="720">
        <f>D42+G42</f>
        <v>258298.63822235935</v>
      </c>
      <c r="I42" s="914"/>
      <c r="J42" s="693">
        <v>0</v>
      </c>
      <c r="K42" s="721">
        <f>H42+J42</f>
        <v>258298.63822235935</v>
      </c>
      <c r="L42" s="193"/>
    </row>
    <row r="43" spans="1:12" ht="45.6" customHeight="1" x14ac:dyDescent="0.2">
      <c r="A43" s="766" t="s">
        <v>474</v>
      </c>
      <c r="B43" s="188" t="s">
        <v>610</v>
      </c>
      <c r="C43" s="673">
        <v>0</v>
      </c>
      <c r="D43" s="722">
        <v>885308.92678034096</v>
      </c>
      <c r="E43" s="917"/>
      <c r="F43" s="673">
        <v>0</v>
      </c>
      <c r="G43" s="682">
        <v>0</v>
      </c>
      <c r="H43" s="723">
        <f>D43+G43</f>
        <v>885308.92678034096</v>
      </c>
      <c r="I43" s="914"/>
      <c r="J43" s="693">
        <v>0</v>
      </c>
      <c r="K43" s="724">
        <f>H43+J43</f>
        <v>885308.92678034096</v>
      </c>
      <c r="L43" s="193"/>
    </row>
    <row r="44" spans="1:12" ht="33.6" customHeight="1" thickBot="1" x14ac:dyDescent="0.25">
      <c r="A44" s="770" t="s">
        <v>475</v>
      </c>
      <c r="B44" s="205" t="s">
        <v>611</v>
      </c>
      <c r="C44" s="673">
        <f>SUM(C42:C43)</f>
        <v>0</v>
      </c>
      <c r="D44" s="725">
        <f>SUM(D42:D43)</f>
        <v>1143607.5650027003</v>
      </c>
      <c r="E44" s="916"/>
      <c r="F44" s="673">
        <f>SUM(F42:F43)</f>
        <v>0</v>
      </c>
      <c r="G44" s="689">
        <f>SUM(G42:G43)</f>
        <v>0</v>
      </c>
      <c r="H44" s="726">
        <f>SUM(H42:H43)</f>
        <v>1143607.5650027003</v>
      </c>
      <c r="I44" s="915"/>
      <c r="J44" s="689">
        <f>SUM(J42:J43)</f>
        <v>0</v>
      </c>
      <c r="K44" s="679">
        <f>SUM(K42:K43)</f>
        <v>1143607.5650027003</v>
      </c>
      <c r="L44" s="182"/>
    </row>
    <row r="45" spans="1:12" ht="15.75" thickBot="1" x14ac:dyDescent="0.25">
      <c r="A45" s="770"/>
      <c r="B45" s="206"/>
      <c r="C45" s="709"/>
      <c r="D45" s="709"/>
      <c r="E45" s="207"/>
      <c r="F45" s="709"/>
      <c r="G45" s="709"/>
      <c r="H45" s="709"/>
      <c r="I45" s="207"/>
      <c r="J45" s="709"/>
      <c r="K45" s="709"/>
      <c r="L45" s="207"/>
    </row>
    <row r="46" spans="1:12" ht="42" customHeight="1" thickBot="1" x14ac:dyDescent="0.25">
      <c r="A46" s="770"/>
      <c r="B46" s="1479" t="s">
        <v>240</v>
      </c>
      <c r="C46" s="1451"/>
      <c r="D46" s="1451"/>
      <c r="E46" s="1451"/>
      <c r="F46" s="1451"/>
      <c r="G46" s="1451"/>
      <c r="H46" s="1451"/>
      <c r="I46" s="1451"/>
      <c r="J46" s="1451"/>
      <c r="K46" s="1451"/>
      <c r="L46" s="1452"/>
    </row>
    <row r="47" spans="1:12" ht="33" customHeight="1" x14ac:dyDescent="0.2">
      <c r="A47" s="770"/>
      <c r="B47" s="219"/>
      <c r="C47" s="1455" t="s">
        <v>70</v>
      </c>
      <c r="D47" s="1456"/>
      <c r="E47" s="1457"/>
      <c r="F47" s="1480" t="s">
        <v>115</v>
      </c>
      <c r="G47" s="1481"/>
      <c r="H47" s="1481"/>
      <c r="I47" s="1482"/>
      <c r="J47" s="1475" t="s">
        <v>101</v>
      </c>
      <c r="K47" s="1476"/>
      <c r="L47" s="1477"/>
    </row>
    <row r="48" spans="1:12" ht="120.75" thickBot="1" x14ac:dyDescent="0.25">
      <c r="A48" s="770"/>
      <c r="B48" s="220"/>
      <c r="C48" s="327" t="s">
        <v>119</v>
      </c>
      <c r="D48" s="327" t="s">
        <v>20</v>
      </c>
      <c r="E48" s="317" t="s">
        <v>27</v>
      </c>
      <c r="F48" s="221" t="s">
        <v>133</v>
      </c>
      <c r="G48" s="222" t="s">
        <v>234</v>
      </c>
      <c r="H48" s="223" t="s">
        <v>71</v>
      </c>
      <c r="I48" s="224" t="s">
        <v>27</v>
      </c>
      <c r="J48" s="225" t="s">
        <v>166</v>
      </c>
      <c r="K48" s="226" t="s">
        <v>72</v>
      </c>
      <c r="L48" s="227" t="s">
        <v>27</v>
      </c>
    </row>
    <row r="49" spans="1:12" ht="36" customHeight="1" x14ac:dyDescent="0.2">
      <c r="A49" s="766" t="s">
        <v>476</v>
      </c>
      <c r="B49" s="228" t="s">
        <v>155</v>
      </c>
      <c r="C49" s="213">
        <v>0</v>
      </c>
      <c r="D49" s="698">
        <v>0</v>
      </c>
      <c r="E49" s="195"/>
      <c r="F49" s="673"/>
      <c r="G49" s="699">
        <v>0</v>
      </c>
      <c r="H49" s="683">
        <f>D49+G49</f>
        <v>0</v>
      </c>
      <c r="I49" s="914"/>
      <c r="J49" s="700">
        <v>0</v>
      </c>
      <c r="K49" s="683">
        <f>H49+J49</f>
        <v>0</v>
      </c>
      <c r="L49" s="199"/>
    </row>
    <row r="50" spans="1:12" ht="36" customHeight="1" x14ac:dyDescent="0.2">
      <c r="A50" s="766" t="s">
        <v>477</v>
      </c>
      <c r="B50" s="194" t="s">
        <v>153</v>
      </c>
      <c r="C50" s="692">
        <f>C26</f>
        <v>0</v>
      </c>
      <c r="D50" s="683">
        <f>D26</f>
        <v>0</v>
      </c>
      <c r="E50" s="192"/>
      <c r="F50" s="727">
        <f>F26</f>
        <v>0</v>
      </c>
      <c r="G50" s="683">
        <f>G26</f>
        <v>0</v>
      </c>
      <c r="H50" s="683">
        <f>D50+G50</f>
        <v>0</v>
      </c>
      <c r="I50" s="914"/>
      <c r="J50" s="683">
        <f>J26</f>
        <v>0</v>
      </c>
      <c r="K50" s="683">
        <f>H50+J50</f>
        <v>0</v>
      </c>
      <c r="L50" s="199"/>
    </row>
    <row r="51" spans="1:12" ht="36" customHeight="1" x14ac:dyDescent="0.2">
      <c r="A51" s="766" t="s">
        <v>478</v>
      </c>
      <c r="B51" s="191" t="s">
        <v>154</v>
      </c>
      <c r="C51" s="728">
        <f>C27</f>
        <v>0</v>
      </c>
      <c r="D51" s="683">
        <f>D27</f>
        <v>0</v>
      </c>
      <c r="E51" s="192"/>
      <c r="F51" s="728">
        <f>F27</f>
        <v>0</v>
      </c>
      <c r="G51" s="683">
        <f>G27</f>
        <v>0</v>
      </c>
      <c r="H51" s="683">
        <f>D51+G51</f>
        <v>0</v>
      </c>
      <c r="I51" s="914"/>
      <c r="J51" s="692">
        <f>J27</f>
        <v>0</v>
      </c>
      <c r="K51" s="683">
        <f>H51+J51</f>
        <v>0</v>
      </c>
      <c r="L51" s="199"/>
    </row>
    <row r="52" spans="1:12" ht="36" customHeight="1" x14ac:dyDescent="0.2">
      <c r="A52" s="766" t="s">
        <v>479</v>
      </c>
      <c r="B52" s="194" t="s">
        <v>156</v>
      </c>
      <c r="C52" s="693">
        <v>0</v>
      </c>
      <c r="D52" s="683">
        <f>D49+C52</f>
        <v>0</v>
      </c>
      <c r="E52" s="195"/>
      <c r="F52" s="706">
        <v>0</v>
      </c>
      <c r="G52" s="706">
        <f>H49</f>
        <v>0</v>
      </c>
      <c r="H52" s="683">
        <f>F52+G52</f>
        <v>0</v>
      </c>
      <c r="I52" s="914"/>
      <c r="J52" s="699">
        <v>0</v>
      </c>
      <c r="K52" s="683">
        <f>H52+J52</f>
        <v>0</v>
      </c>
      <c r="L52" s="229"/>
    </row>
    <row r="53" spans="1:12" ht="36" customHeight="1" thickBot="1" x14ac:dyDescent="0.25">
      <c r="A53" s="766" t="s">
        <v>480</v>
      </c>
      <c r="B53" s="205" t="s">
        <v>157</v>
      </c>
      <c r="C53" s="729">
        <f>C52-C50-C51</f>
        <v>0</v>
      </c>
      <c r="D53" s="730">
        <f>C53+D49-D50-D51</f>
        <v>0</v>
      </c>
      <c r="E53" s="230"/>
      <c r="F53" s="731">
        <f>F52-F50-F51</f>
        <v>0</v>
      </c>
      <c r="G53" s="213"/>
      <c r="H53" s="701">
        <f>H52-F50-F51-H50-H51</f>
        <v>0</v>
      </c>
      <c r="I53" s="231"/>
      <c r="J53" s="213">
        <v>0</v>
      </c>
      <c r="K53" s="689">
        <f>K52-F50-F51-K50-K51</f>
        <v>0</v>
      </c>
      <c r="L53" s="231"/>
    </row>
    <row r="54" spans="1:12" ht="15" x14ac:dyDescent="0.2">
      <c r="B54" s="232"/>
      <c r="C54" s="117"/>
      <c r="D54" s="117"/>
      <c r="E54" s="117"/>
      <c r="F54" s="117"/>
      <c r="G54" s="117"/>
      <c r="H54" s="328"/>
      <c r="I54" s="117"/>
      <c r="J54" s="117"/>
      <c r="K54" s="117"/>
      <c r="L54" s="117"/>
    </row>
  </sheetData>
  <sheetProtection algorithmName="SHA-512" hashValue="wpDXcudqYamXkhgcgPpregMCYuE3UKgDHpMQA/Ls6vSDIhDZFTKElY210juoqrRVJvceqjh9VMf9A6KTwVu7iw==" saltValue="z/JHcdHk+0q45vBFHuLfOQ==" spinCount="100000" sheet="1" objects="1" scenarios="1" formatColumns="0" formatRows="0" sort="0" autoFilter="0"/>
  <mergeCells count="19">
    <mergeCell ref="B41:L41"/>
    <mergeCell ref="B46:L46"/>
    <mergeCell ref="C47:E47"/>
    <mergeCell ref="F47:I47"/>
    <mergeCell ref="J47:L47"/>
    <mergeCell ref="B29:L29"/>
    <mergeCell ref="B34:L34"/>
    <mergeCell ref="B35:B36"/>
    <mergeCell ref="C35:E35"/>
    <mergeCell ref="A1:L1"/>
    <mergeCell ref="B4:L4"/>
    <mergeCell ref="C5:E5"/>
    <mergeCell ref="F5:I5"/>
    <mergeCell ref="J5:L5"/>
    <mergeCell ref="A2:B3"/>
    <mergeCell ref="C2:D2"/>
    <mergeCell ref="C3:D3"/>
    <mergeCell ref="F35:I35"/>
    <mergeCell ref="J35:L35"/>
  </mergeCells>
  <printOptions horizontalCentered="1" verticalCentered="1"/>
  <pageMargins left="0.23622047244094491" right="0.23622047244094491" top="0.74803149606299213" bottom="0.74803149606299213" header="0.31496062992125984" footer="0.31496062992125984"/>
  <pageSetup paperSize="8" scale="76" orientation="landscape" r:id="rId1"/>
  <headerFooter>
    <oddFooter>&amp;L&amp;A&amp;R&amp;P</oddFooter>
  </headerFooter>
  <colBreaks count="1" manualBreakCount="1">
    <brk id="9" max="64" man="1"/>
  </colBreaks>
  <extLst>
    <ext xmlns:x14="http://schemas.microsoft.com/office/spreadsheetml/2009/9/main" uri="{78C0D931-6437-407d-A8EE-F0AAD7539E65}">
      <x14:conditionalFormattings>
        <x14:conditionalFormatting xmlns:xm="http://schemas.microsoft.com/office/excel/2006/main">
          <x14:cfRule type="expression" priority="17" id="{00BC93F0-D2EF-4C58-A181-DEC8F121D041}">
            <xm:f>CoverSheet!$D$11="EUR"</xm:f>
            <x14:dxf>
              <numFmt numFmtId="187" formatCode="[$€-2]\ #,##0.00;[Red]\-[$€-2]\ #,##0.00"/>
            </x14:dxf>
          </x14:cfRule>
          <xm:sqref>D7 G7:H7 J10:K15 F10:H15 C10:D15 F24:H26 C24:D26 D30:D32 G30:H32 J30:K32 D37:D39 G37:H39 J37:K39 F18:H22 C50:D53 J18:K22 F50:H52 J7:K7 D49 F53 H53 J49:K52 K53 J24:K28 G49:H49 D42:D44 G42:H44 C18:D22</xm:sqref>
        </x14:conditionalFormatting>
        <x14:conditionalFormatting xmlns:xm="http://schemas.microsoft.com/office/excel/2006/main">
          <x14:cfRule type="expression" priority="5" id="{29C428BE-D910-4387-9F2F-5DB34B66451D}">
            <xm:f>CoverSheet!$D$11="EUR"</xm:f>
            <x14:dxf>
              <numFmt numFmtId="187" formatCode="[$€-2]\ #,##0.00;[Red]\-[$€-2]\ #,##0.00"/>
            </x14:dxf>
          </x14:cfRule>
          <xm:sqref>F27:H27 C27:D27</xm:sqref>
        </x14:conditionalFormatting>
        <x14:conditionalFormatting xmlns:xm="http://schemas.microsoft.com/office/excel/2006/main">
          <x14:cfRule type="expression" priority="3" id="{5A9DC541-BAAE-4443-86A6-A13DD56AB193}">
            <xm:f>CoverSheet!$D$11="EUR"</xm:f>
            <x14:dxf>
              <numFmt numFmtId="187" formatCode="[$€-2]\ #,##0.00;[Red]\-[$€-2]\ #,##0.00"/>
            </x14:dxf>
          </x14:cfRule>
          <xm:sqref>C28:D28</xm:sqref>
        </x14:conditionalFormatting>
        <x14:conditionalFormatting xmlns:xm="http://schemas.microsoft.com/office/excel/2006/main">
          <x14:cfRule type="expression" priority="2" id="{7F70D7EE-64D3-4630-8DDE-BC68362B7422}">
            <xm:f>CoverSheet!$D$11="EUR"</xm:f>
            <x14:dxf>
              <numFmt numFmtId="187" formatCode="[$€-2]\ #,##0.00;[Red]\-[$€-2]\ #,##0.00"/>
            </x14:dxf>
          </x14:cfRule>
          <xm:sqref>F28:G28</xm:sqref>
        </x14:conditionalFormatting>
        <x14:conditionalFormatting xmlns:xm="http://schemas.microsoft.com/office/excel/2006/main">
          <x14:cfRule type="expression" priority="1" id="{5CF5B6BB-B50B-403B-9D23-EFF5DA6B0FF3}">
            <xm:f>CoverSheet!$D$11="EUR"</xm:f>
            <x14:dxf>
              <numFmt numFmtId="187" formatCode="[$€-2]\ #,##0.00;[Red]\-[$€-2]\ #,##0.00"/>
            </x14:dxf>
          </x14:cfRule>
          <xm:sqref>H28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H40"/>
  <sheetViews>
    <sheetView workbookViewId="0">
      <selection activeCell="E9" sqref="E9"/>
    </sheetView>
  </sheetViews>
  <sheetFormatPr defaultColWidth="8.85546875" defaultRowHeight="12.75" x14ac:dyDescent="0.2"/>
  <cols>
    <col min="1" max="1" width="12.140625" style="365" bestFit="1" customWidth="1"/>
    <col min="2" max="2" width="10.42578125" style="365" bestFit="1" customWidth="1"/>
    <col min="3" max="3" width="12.85546875" style="365" bestFit="1" customWidth="1"/>
    <col min="4" max="4" width="10.140625" style="365" bestFit="1" customWidth="1"/>
    <col min="5" max="5" width="11.85546875" style="365" bestFit="1" customWidth="1"/>
    <col min="6" max="6" width="13.85546875" style="365" bestFit="1" customWidth="1"/>
    <col min="7" max="7" width="16.5703125" style="365" bestFit="1" customWidth="1"/>
    <col min="8" max="8" width="12.5703125" style="365" bestFit="1" customWidth="1"/>
    <col min="9" max="16384" width="8.85546875" style="365"/>
  </cols>
  <sheetData>
    <row r="3" spans="1:8" x14ac:dyDescent="0.2">
      <c r="A3" s="1187" t="s">
        <v>444</v>
      </c>
      <c r="B3" s="1187" t="s">
        <v>356</v>
      </c>
      <c r="C3" s="1187" t="s">
        <v>445</v>
      </c>
      <c r="D3" s="1187" t="s">
        <v>447</v>
      </c>
      <c r="E3" s="1187" t="s">
        <v>446</v>
      </c>
      <c r="F3" s="1187" t="s">
        <v>448</v>
      </c>
      <c r="G3" s="1187" t="s">
        <v>449</v>
      </c>
      <c r="H3" s="1187" t="s">
        <v>450</v>
      </c>
    </row>
    <row r="4" spans="1:8" hidden="1" x14ac:dyDescent="0.2">
      <c r="A4" s="1188" t="s">
        <v>443</v>
      </c>
      <c r="B4" s="1187" t="s">
        <v>355</v>
      </c>
      <c r="C4" s="1282" t="str">
        <f>IFERROR(INDEX('PR Cash Reconciliation_2A,B,C,D'!$C$7:$C$55,MATCH(A4,'PR Cash Reconciliation_2A,B,C,D'!$A$7:$A$55,0)),"")</f>
        <v/>
      </c>
      <c r="D4" s="1282" t="str">
        <f>IFERROR(INDEX('PR Cash Reconciliation_2A,B,C,D'!$D$7:$D$55,MATCH(A4,'PR Cash Reconciliation_2A,B,C,D'!$A$7:$A$55,0)),"")</f>
        <v/>
      </c>
      <c r="E4" s="1188" t="str">
        <f>IFERROR(IF(INDEX('PR Cash Reconciliation_2A,B,C,D'!$E$7:$E$55,MATCH(A4,'PR Cash Reconciliation_2A,B,C,D'!$A$7:$A$55,0))=0,"",INDEX('PR Cash Reconciliation_2A,B,C,D'!$E$7:$E$55,MATCH(A4,'PR Cash Reconciliation_2A,B,C,D'!$A$7:$A$55,0))),"")</f>
        <v/>
      </c>
      <c r="F4" s="1282" t="str">
        <f>IFERROR(INDEX('PR Cash Reconciliation_2A,B,C,D'!$F$7:$F$55,MATCH(A4,'PR Cash Reconciliation_2A,B,C,D'!$A$7:$A$55,0)),"")</f>
        <v/>
      </c>
      <c r="G4" s="1282" t="str">
        <f>IFERROR(INDEX('PR Cash Reconciliation_2A,B,C,D'!$G$7:$G$55,MATCH(A4,'PR Cash Reconciliation_2A,B,C,D'!$A$7:$A$55,0)),"")</f>
        <v/>
      </c>
      <c r="H4" s="1188" t="str">
        <f>IFERROR(IF(INDEX('PR Cash Reconciliation_2A,B,C,D'!$I$7:$I$55,MATCH(A4,'PR Cash Reconciliation_2A,B,C,D'!$A$7:$A$55,0))=0,"",INDEX('PR Cash Reconciliation_2A,B,C,D'!$I$7:$I$55,MATCH(A4,'PR Cash Reconciliation_2A,B,C,D'!$A$7:$A$55,0))),"")</f>
        <v/>
      </c>
    </row>
    <row r="5" spans="1:8" x14ac:dyDescent="0.2">
      <c r="A5" s="1188" t="s">
        <v>451</v>
      </c>
      <c r="B5" s="1187" t="s">
        <v>1092</v>
      </c>
      <c r="C5" s="1282">
        <f>IFERROR(INDEX('PR Cash Reconciliation_2A,B,C,D'!$C$7:$C$55,MATCH(A5,'PR Cash Reconciliation_2A,B,C,D'!$A$7:$A$55,0)),"")</f>
        <v>0</v>
      </c>
      <c r="D5" s="1282">
        <f>IFERROR(INDEX('PR Cash Reconciliation_2A,B,C,D'!$D$7:$D$55,MATCH(A5,'PR Cash Reconciliation_2A,B,C,D'!$A$7:$A$55,0)),"")</f>
        <v>1171679</v>
      </c>
      <c r="E5" s="1188" t="str">
        <f>IFERROR(IF(INDEX('PR Cash Reconciliation_2A,B,C,D'!$E$7:$E$55,MATCH(A5,'PR Cash Reconciliation_2A,B,C,D'!$A$7:$A$55,0))=0,"",INDEX('PR Cash Reconciliation_2A,B,C,D'!$E$7:$E$55,MATCH(A5,'PR Cash Reconciliation_2A,B,C,D'!$A$7:$A$55,0))),"")</f>
        <v>USD 428,004 was transferred from SSF Grant. USD 299,116 beginning cash of SSF Grant</v>
      </c>
      <c r="F5" s="1282">
        <f>IFERROR(INDEX('PR Cash Reconciliation_2A,B,C,D'!$F$7:$F$55,MATCH(A5,'PR Cash Reconciliation_2A,B,C,D'!$A$7:$A$55,0)),"")</f>
        <v>0</v>
      </c>
      <c r="G5" s="1282">
        <f>IFERROR(INDEX('PR Cash Reconciliation_2A,B,C,D'!$G$7:$G$55,MATCH(A5,'PR Cash Reconciliation_2A,B,C,D'!$A$7:$A$55,0)),"")</f>
        <v>0</v>
      </c>
      <c r="H5" s="1188" t="str">
        <f>IFERROR(IF(INDEX('PR Cash Reconciliation_2A,B,C,D'!$I$7:$I$55,MATCH(A5,'PR Cash Reconciliation_2A,B,C,D'!$A$7:$A$55,0))=0,"",INDEX('PR Cash Reconciliation_2A,B,C,D'!$I$7:$I$55,MATCH(A5,'PR Cash Reconciliation_2A,B,C,D'!$A$7:$A$55,0))),"")</f>
        <v/>
      </c>
    </row>
    <row r="6" spans="1:8" x14ac:dyDescent="0.2">
      <c r="A6" s="1188" t="s">
        <v>452</v>
      </c>
      <c r="B6" s="1187" t="s">
        <v>1093</v>
      </c>
      <c r="C6" s="1282">
        <f>IFERROR(INDEX('PR Cash Reconciliation_2A,B,C,D'!$C$7:$C$55,MATCH(A6,'PR Cash Reconciliation_2A,B,C,D'!$A$7:$A$55,0)),"")</f>
        <v>0</v>
      </c>
      <c r="D6" s="1282">
        <f>IFERROR(INDEX('PR Cash Reconciliation_2A,B,C,D'!$D$7:$D$55,MATCH(A6,'PR Cash Reconciliation_2A,B,C,D'!$A$7:$A$55,0)),"")</f>
        <v>3953485</v>
      </c>
      <c r="E6" s="1188" t="str">
        <f>IFERROR(IF(INDEX('PR Cash Reconciliation_2A,B,C,D'!$E$7:$E$55,MATCH(A6,'PR Cash Reconciliation_2A,B,C,D'!$A$7:$A$55,0))=0,"",INDEX('PR Cash Reconciliation_2A,B,C,D'!$E$7:$E$55,MATCH(A6,'PR Cash Reconciliation_2A,B,C,D'!$A$7:$A$55,0))),"")</f>
        <v/>
      </c>
      <c r="F6" s="1282">
        <f>IFERROR(INDEX('PR Cash Reconciliation_2A,B,C,D'!$F$7:$F$55,MATCH(A6,'PR Cash Reconciliation_2A,B,C,D'!$A$7:$A$55,0)),"")</f>
        <v>0</v>
      </c>
      <c r="G6" s="1282">
        <f>IFERROR(INDEX('PR Cash Reconciliation_2A,B,C,D'!$G$7:$G$55,MATCH(A6,'PR Cash Reconciliation_2A,B,C,D'!$A$7:$A$55,0)),"")</f>
        <v>0</v>
      </c>
      <c r="H6" s="1188" t="str">
        <f>IFERROR(IF(INDEX('PR Cash Reconciliation_2A,B,C,D'!$I$7:$I$55,MATCH(A6,'PR Cash Reconciliation_2A,B,C,D'!$A$7:$A$55,0))=0,"",INDEX('PR Cash Reconciliation_2A,B,C,D'!$I$7:$I$55,MATCH(A6,'PR Cash Reconciliation_2A,B,C,D'!$A$7:$A$55,0))),"")</f>
        <v/>
      </c>
    </row>
    <row r="7" spans="1:8" x14ac:dyDescent="0.2">
      <c r="A7" s="1188" t="s">
        <v>453</v>
      </c>
      <c r="B7" s="1187" t="s">
        <v>1094</v>
      </c>
      <c r="C7" s="1282">
        <f>IFERROR(INDEX('PR Cash Reconciliation_2A,B,C,D'!$C$7:$C$55,MATCH(A7,'PR Cash Reconciliation_2A,B,C,D'!$A$7:$A$55,0)),"")</f>
        <v>0</v>
      </c>
      <c r="D7" s="1282">
        <f>IFERROR(INDEX('PR Cash Reconciliation_2A,B,C,D'!$D$7:$D$55,MATCH(A7,'PR Cash Reconciliation_2A,B,C,D'!$A$7:$A$55,0)),"")</f>
        <v>879012</v>
      </c>
      <c r="E7" s="1188" t="str">
        <f>IFERROR(IF(INDEX('PR Cash Reconciliation_2A,B,C,D'!$E$7:$E$55,MATCH(A7,'PR Cash Reconciliation_2A,B,C,D'!$A$7:$A$55,0))=0,"",INDEX('PR Cash Reconciliation_2A,B,C,D'!$E$7:$E$55,MATCH(A7,'PR Cash Reconciliation_2A,B,C,D'!$A$7:$A$55,0))),"")</f>
        <v/>
      </c>
      <c r="F7" s="1282">
        <f>IFERROR(INDEX('PR Cash Reconciliation_2A,B,C,D'!$F$7:$F$55,MATCH(A7,'PR Cash Reconciliation_2A,B,C,D'!$A$7:$A$55,0)),"")</f>
        <v>0</v>
      </c>
      <c r="G7" s="1282">
        <f>IFERROR(INDEX('PR Cash Reconciliation_2A,B,C,D'!$G$7:$G$55,MATCH(A7,'PR Cash Reconciliation_2A,B,C,D'!$A$7:$A$55,0)),"")</f>
        <v>0</v>
      </c>
      <c r="H7" s="1188" t="str">
        <f>IFERROR(IF(INDEX('PR Cash Reconciliation_2A,B,C,D'!$I$7:$I$55,MATCH(A7,'PR Cash Reconciliation_2A,B,C,D'!$A$7:$A$55,0))=0,"",INDEX('PR Cash Reconciliation_2A,B,C,D'!$I$7:$I$55,MATCH(A7,'PR Cash Reconciliation_2A,B,C,D'!$A$7:$A$55,0))),"")</f>
        <v/>
      </c>
    </row>
    <row r="8" spans="1:8" x14ac:dyDescent="0.2">
      <c r="A8" s="1188" t="s">
        <v>454</v>
      </c>
      <c r="B8" s="1187" t="s">
        <v>1095</v>
      </c>
      <c r="C8" s="1282">
        <f>IFERROR(INDEX('PR Cash Reconciliation_2A,B,C,D'!$C$7:$C$55,MATCH(A8,'PR Cash Reconciliation_2A,B,C,D'!$A$7:$A$55,0)),"")</f>
        <v>0</v>
      </c>
      <c r="D8" s="1282">
        <f>IFERROR(INDEX('PR Cash Reconciliation_2A,B,C,D'!$D$7:$D$55,MATCH(A8,'PR Cash Reconciliation_2A,B,C,D'!$A$7:$A$55,0)),"")</f>
        <v>0</v>
      </c>
      <c r="E8" s="1188" t="str">
        <f>IFERROR(IF(INDEX('PR Cash Reconciliation_2A,B,C,D'!$E$7:$E$55,MATCH(A8,'PR Cash Reconciliation_2A,B,C,D'!$A$7:$A$55,0))=0,"",INDEX('PR Cash Reconciliation_2A,B,C,D'!$E$7:$E$55,MATCH(A8,'PR Cash Reconciliation_2A,B,C,D'!$A$7:$A$55,0))),"")</f>
        <v/>
      </c>
      <c r="F8" s="1282">
        <f>IFERROR(INDEX('PR Cash Reconciliation_2A,B,C,D'!$F$7:$F$55,MATCH(A8,'PR Cash Reconciliation_2A,B,C,D'!$A$7:$A$55,0)),"")</f>
        <v>0</v>
      </c>
      <c r="G8" s="1282">
        <f>IFERROR(INDEX('PR Cash Reconciliation_2A,B,C,D'!$G$7:$G$55,MATCH(A8,'PR Cash Reconciliation_2A,B,C,D'!$A$7:$A$55,0)),"")</f>
        <v>0</v>
      </c>
      <c r="H8" s="1188" t="str">
        <f>IFERROR(IF(INDEX('PR Cash Reconciliation_2A,B,C,D'!$I$7:$I$55,MATCH(A8,'PR Cash Reconciliation_2A,B,C,D'!$A$7:$A$55,0))=0,"",INDEX('PR Cash Reconciliation_2A,B,C,D'!$I$7:$I$55,MATCH(A8,'PR Cash Reconciliation_2A,B,C,D'!$A$7:$A$55,0))),"")</f>
        <v/>
      </c>
    </row>
    <row r="9" spans="1:8" x14ac:dyDescent="0.2">
      <c r="A9" s="1188" t="s">
        <v>455</v>
      </c>
      <c r="B9" s="1187" t="s">
        <v>1096</v>
      </c>
      <c r="C9" s="1282">
        <f>IFERROR(INDEX('PR Cash Reconciliation_2A,B,C,D'!$C$7:$C$55,MATCH(A9,'PR Cash Reconciliation_2A,B,C,D'!$A$7:$A$55,0)),"")</f>
        <v>0</v>
      </c>
      <c r="D9" s="1282">
        <f>IFERROR(INDEX('PR Cash Reconciliation_2A,B,C,D'!$D$7:$D$55,MATCH(A9,'PR Cash Reconciliation_2A,B,C,D'!$A$7:$A$55,0)),"")</f>
        <v>0</v>
      </c>
      <c r="E9" s="1188" t="str">
        <f>IFERROR(IF(INDEX('PR Cash Reconciliation_2A,B,C,D'!$E$7:$E$55,MATCH(A9,'PR Cash Reconciliation_2A,B,C,D'!$A$7:$A$55,0))=0,"",INDEX('PR Cash Reconciliation_2A,B,C,D'!$E$7:$E$55,MATCH(A9,'PR Cash Reconciliation_2A,B,C,D'!$A$7:$A$55,0))),"")</f>
        <v/>
      </c>
      <c r="F9" s="1282">
        <f>IFERROR(INDEX('PR Cash Reconciliation_2A,B,C,D'!$F$7:$F$55,MATCH(A9,'PR Cash Reconciliation_2A,B,C,D'!$A$7:$A$55,0)),"")</f>
        <v>0</v>
      </c>
      <c r="G9" s="1282">
        <f>IFERROR(INDEX('PR Cash Reconciliation_2A,B,C,D'!$G$7:$G$55,MATCH(A9,'PR Cash Reconciliation_2A,B,C,D'!$A$7:$A$55,0)),"")</f>
        <v>0</v>
      </c>
      <c r="H9" s="1188" t="str">
        <f>IFERROR(IF(INDEX('PR Cash Reconciliation_2A,B,C,D'!$I$7:$I$55,MATCH(A9,'PR Cash Reconciliation_2A,B,C,D'!$A$7:$A$55,0))=0,"",INDEX('PR Cash Reconciliation_2A,B,C,D'!$I$7:$I$55,MATCH(A9,'PR Cash Reconciliation_2A,B,C,D'!$A$7:$A$55,0))),"")</f>
        <v/>
      </c>
    </row>
    <row r="10" spans="1:8" x14ac:dyDescent="0.2">
      <c r="A10" s="1188" t="s">
        <v>456</v>
      </c>
      <c r="B10" s="1187" t="s">
        <v>1097</v>
      </c>
      <c r="C10" s="1282">
        <f>IFERROR(INDEX('PR Cash Reconciliation_2A,B,C,D'!$C$7:$C$55,MATCH(A10,'PR Cash Reconciliation_2A,B,C,D'!$A$7:$A$55,0)),"")</f>
        <v>0</v>
      </c>
      <c r="D10" s="1282">
        <f>IFERROR(INDEX('PR Cash Reconciliation_2A,B,C,D'!$D$7:$D$55,MATCH(A10,'PR Cash Reconciliation_2A,B,C,D'!$A$7:$A$55,0)),"")</f>
        <v>32508.04</v>
      </c>
      <c r="E10" s="1188" t="str">
        <f>IFERROR(IF(INDEX('PR Cash Reconciliation_2A,B,C,D'!$E$7:$E$55,MATCH(A10,'PR Cash Reconciliation_2A,B,C,D'!$A$7:$A$55,0))=0,"",INDEX('PR Cash Reconciliation_2A,B,C,D'!$E$7:$E$55,MATCH(A10,'PR Cash Reconciliation_2A,B,C,D'!$A$7:$A$55,0))),"")</f>
        <v/>
      </c>
      <c r="F10" s="1282">
        <f>IFERROR(INDEX('PR Cash Reconciliation_2A,B,C,D'!$F$7:$F$55,MATCH(A10,'PR Cash Reconciliation_2A,B,C,D'!$A$7:$A$55,0)),"")</f>
        <v>0</v>
      </c>
      <c r="G10" s="1282">
        <f>IFERROR(INDEX('PR Cash Reconciliation_2A,B,C,D'!$G$7:$G$55,MATCH(A10,'PR Cash Reconciliation_2A,B,C,D'!$A$7:$A$55,0)),"")</f>
        <v>0</v>
      </c>
      <c r="H10" s="1188" t="str">
        <f>IFERROR(IF(INDEX('PR Cash Reconciliation_2A,B,C,D'!$I$7:$I$55,MATCH(A10,'PR Cash Reconciliation_2A,B,C,D'!$A$7:$A$55,0))=0,"",INDEX('PR Cash Reconciliation_2A,B,C,D'!$I$7:$I$55,MATCH(A10,'PR Cash Reconciliation_2A,B,C,D'!$A$7:$A$55,0))),"")</f>
        <v/>
      </c>
    </row>
    <row r="11" spans="1:8" x14ac:dyDescent="0.2">
      <c r="A11" s="1188" t="s">
        <v>457</v>
      </c>
      <c r="B11" s="1187" t="s">
        <v>1098</v>
      </c>
      <c r="C11" s="1282">
        <f>IFERROR(INDEX('PR Cash Reconciliation_2A,B,C,D'!$C$7:$C$55,MATCH(A11,'PR Cash Reconciliation_2A,B,C,D'!$A$7:$A$55,0)),"")</f>
        <v>0</v>
      </c>
      <c r="D11" s="1282">
        <f>IFERROR(INDEX('PR Cash Reconciliation_2A,B,C,D'!$D$7:$D$55,MATCH(A11,'PR Cash Reconciliation_2A,B,C,D'!$A$7:$A$55,0)),"")</f>
        <v>4865005.04</v>
      </c>
      <c r="E11" s="1188" t="str">
        <f>IFERROR(IF(INDEX('PR Cash Reconciliation_2A,B,C,D'!$E$7:$E$55,MATCH(A11,'PR Cash Reconciliation_2A,B,C,D'!$A$7:$A$55,0))=0,"",INDEX('PR Cash Reconciliation_2A,B,C,D'!$E$7:$E$55,MATCH(A11,'PR Cash Reconciliation_2A,B,C,D'!$A$7:$A$55,0))),"")</f>
        <v/>
      </c>
      <c r="F11" s="1282">
        <f>IFERROR(INDEX('PR Cash Reconciliation_2A,B,C,D'!$F$7:$F$55,MATCH(A11,'PR Cash Reconciliation_2A,B,C,D'!$A$7:$A$55,0)),"")</f>
        <v>0</v>
      </c>
      <c r="G11" s="1282">
        <f>IFERROR(INDEX('PR Cash Reconciliation_2A,B,C,D'!$G$7:$G$55,MATCH(A11,'PR Cash Reconciliation_2A,B,C,D'!$A$7:$A$55,0)),"")</f>
        <v>0</v>
      </c>
      <c r="H11" s="1188" t="str">
        <f>IFERROR(IF(INDEX('PR Cash Reconciliation_2A,B,C,D'!$I$7:$I$55,MATCH(A11,'PR Cash Reconciliation_2A,B,C,D'!$A$7:$A$55,0))=0,"",INDEX('PR Cash Reconciliation_2A,B,C,D'!$I$7:$I$55,MATCH(A11,'PR Cash Reconciliation_2A,B,C,D'!$A$7:$A$55,0))),"")</f>
        <v/>
      </c>
    </row>
    <row r="12" spans="1:8" x14ac:dyDescent="0.2">
      <c r="A12" s="1188" t="s">
        <v>458</v>
      </c>
      <c r="B12" s="1187" t="s">
        <v>1099</v>
      </c>
      <c r="C12" s="1282">
        <f>IFERROR(INDEX('PR Cash Reconciliation_2A,B,C,D'!$C$7:$C$55,MATCH(A12,'PR Cash Reconciliation_2A,B,C,D'!$A$7:$A$55,0)),"")</f>
        <v>0</v>
      </c>
      <c r="D12" s="1282">
        <f>IFERROR(INDEX('PR Cash Reconciliation_2A,B,C,D'!$D$7:$D$55,MATCH(A12,'PR Cash Reconciliation_2A,B,C,D'!$A$7:$A$55,0)),"")</f>
        <v>1506621.5976692201</v>
      </c>
      <c r="E12" s="1188" t="str">
        <f>IFERROR(IF(INDEX('PR Cash Reconciliation_2A,B,C,D'!$E$7:$E$55,MATCH(A12,'PR Cash Reconciliation_2A,B,C,D'!$A$7:$A$55,0))=0,"",INDEX('PR Cash Reconciliation_2A,B,C,D'!$E$7:$E$55,MATCH(A12,'PR Cash Reconciliation_2A,B,C,D'!$A$7:$A$55,0))),"")</f>
        <v/>
      </c>
      <c r="F12" s="1282">
        <f>IFERROR(INDEX('PR Cash Reconciliation_2A,B,C,D'!$F$7:$F$55,MATCH(A12,'PR Cash Reconciliation_2A,B,C,D'!$A$7:$A$55,0)),"")</f>
        <v>0</v>
      </c>
      <c r="G12" s="1282">
        <f>IFERROR(INDEX('PR Cash Reconciliation_2A,B,C,D'!$G$7:$G$55,MATCH(A12,'PR Cash Reconciliation_2A,B,C,D'!$A$7:$A$55,0)),"")</f>
        <v>0</v>
      </c>
      <c r="H12" s="1188" t="str">
        <f>IFERROR(IF(INDEX('PR Cash Reconciliation_2A,B,C,D'!$I$7:$I$55,MATCH(A12,'PR Cash Reconciliation_2A,B,C,D'!$A$7:$A$55,0))=0,"",INDEX('PR Cash Reconciliation_2A,B,C,D'!$I$7:$I$55,MATCH(A12,'PR Cash Reconciliation_2A,B,C,D'!$A$7:$A$55,0))),"")</f>
        <v/>
      </c>
    </row>
    <row r="13" spans="1:8" x14ac:dyDescent="0.2">
      <c r="A13" s="1188" t="s">
        <v>459</v>
      </c>
      <c r="B13" s="1187" t="s">
        <v>1100</v>
      </c>
      <c r="C13" s="1282">
        <f>IFERROR(INDEX('PR Cash Reconciliation_2A,B,C,D'!$C$7:$C$55,MATCH(A13,'PR Cash Reconciliation_2A,B,C,D'!$A$7:$A$55,0)),"")</f>
        <v>0</v>
      </c>
      <c r="D13" s="1282">
        <f>IFERROR(INDEX('PR Cash Reconciliation_2A,B,C,D'!$D$7:$D$55,MATCH(A13,'PR Cash Reconciliation_2A,B,C,D'!$A$7:$A$55,0)),"")</f>
        <v>879012</v>
      </c>
      <c r="E13" s="1188" t="str">
        <f>IFERROR(IF(INDEX('PR Cash Reconciliation_2A,B,C,D'!$E$7:$E$55,MATCH(A13,'PR Cash Reconciliation_2A,B,C,D'!$A$7:$A$55,0))=0,"",INDEX('PR Cash Reconciliation_2A,B,C,D'!$E$7:$E$55,MATCH(A13,'PR Cash Reconciliation_2A,B,C,D'!$A$7:$A$55,0))),"")</f>
        <v/>
      </c>
      <c r="F13" s="1282">
        <f>IFERROR(INDEX('PR Cash Reconciliation_2A,B,C,D'!$F$7:$F$55,MATCH(A13,'PR Cash Reconciliation_2A,B,C,D'!$A$7:$A$55,0)),"")</f>
        <v>0</v>
      </c>
      <c r="G13" s="1282">
        <f>IFERROR(INDEX('PR Cash Reconciliation_2A,B,C,D'!$G$7:$G$55,MATCH(A13,'PR Cash Reconciliation_2A,B,C,D'!$A$7:$A$55,0)),"")</f>
        <v>0</v>
      </c>
      <c r="H13" s="1188" t="str">
        <f>IFERROR(IF(INDEX('PR Cash Reconciliation_2A,B,C,D'!$I$7:$I$55,MATCH(A13,'PR Cash Reconciliation_2A,B,C,D'!$A$7:$A$55,0))=0,"",INDEX('PR Cash Reconciliation_2A,B,C,D'!$I$7:$I$55,MATCH(A13,'PR Cash Reconciliation_2A,B,C,D'!$A$7:$A$55,0))),"")</f>
        <v/>
      </c>
    </row>
    <row r="14" spans="1:8" x14ac:dyDescent="0.2">
      <c r="A14" s="1188" t="s">
        <v>460</v>
      </c>
      <c r="B14" s="1187" t="s">
        <v>1101</v>
      </c>
      <c r="C14" s="1282">
        <f>IFERROR(INDEX('PR Cash Reconciliation_2A,B,C,D'!$C$7:$C$55,MATCH(A14,'PR Cash Reconciliation_2A,B,C,D'!$A$7:$A$55,0)),"")</f>
        <v>0</v>
      </c>
      <c r="D14" s="1282">
        <f>IFERROR(INDEX('PR Cash Reconciliation_2A,B,C,D'!$D$7:$D$55,MATCH(A14,'PR Cash Reconciliation_2A,B,C,D'!$A$7:$A$55,0)),"")</f>
        <v>387266.25641925068</v>
      </c>
      <c r="E14" s="1188" t="str">
        <f>IFERROR(IF(INDEX('PR Cash Reconciliation_2A,B,C,D'!$E$7:$E$55,MATCH(A14,'PR Cash Reconciliation_2A,B,C,D'!$A$7:$A$55,0))=0,"",INDEX('PR Cash Reconciliation_2A,B,C,D'!$E$7:$E$55,MATCH(A14,'PR Cash Reconciliation_2A,B,C,D'!$A$7:$A$55,0))),"")</f>
        <v/>
      </c>
      <c r="F14" s="1282">
        <f>IFERROR(INDEX('PR Cash Reconciliation_2A,B,C,D'!$F$7:$F$55,MATCH(A14,'PR Cash Reconciliation_2A,B,C,D'!$A$7:$A$55,0)),"")</f>
        <v>0</v>
      </c>
      <c r="G14" s="1282">
        <f>IFERROR(INDEX('PR Cash Reconciliation_2A,B,C,D'!$G$7:$G$55,MATCH(A14,'PR Cash Reconciliation_2A,B,C,D'!$A$7:$A$55,0)),"")</f>
        <v>0</v>
      </c>
      <c r="H14" s="1188" t="str">
        <f>IFERROR(IF(INDEX('PR Cash Reconciliation_2A,B,C,D'!$I$7:$I$55,MATCH(A14,'PR Cash Reconciliation_2A,B,C,D'!$A$7:$A$55,0))=0,"",INDEX('PR Cash Reconciliation_2A,B,C,D'!$I$7:$I$55,MATCH(A14,'PR Cash Reconciliation_2A,B,C,D'!$A$7:$A$55,0))),"")</f>
        <v/>
      </c>
    </row>
    <row r="15" spans="1:8" x14ac:dyDescent="0.2">
      <c r="A15" s="1188" t="s">
        <v>461</v>
      </c>
      <c r="B15" s="1187" t="s">
        <v>1102</v>
      </c>
      <c r="C15" s="1282">
        <f>IFERROR(INDEX('PR Cash Reconciliation_2A,B,C,D'!$C$7:$C$55,MATCH(A15,'PR Cash Reconciliation_2A,B,C,D'!$A$7:$A$55,0)),"")</f>
        <v>0</v>
      </c>
      <c r="D15" s="1282">
        <f>IFERROR(INDEX('PR Cash Reconciliation_2A,B,C,D'!$D$7:$D$55,MATCH(A15,'PR Cash Reconciliation_2A,B,C,D'!$A$7:$A$55,0)),"")</f>
        <v>0</v>
      </c>
      <c r="E15" s="1188" t="str">
        <f>IFERROR(IF(INDEX('PR Cash Reconciliation_2A,B,C,D'!$E$7:$E$55,MATCH(A15,'PR Cash Reconciliation_2A,B,C,D'!$A$7:$A$55,0))=0,"",INDEX('PR Cash Reconciliation_2A,B,C,D'!$E$7:$E$55,MATCH(A15,'PR Cash Reconciliation_2A,B,C,D'!$A$7:$A$55,0))),"")</f>
        <v/>
      </c>
      <c r="F15" s="1282">
        <f>IFERROR(INDEX('PR Cash Reconciliation_2A,B,C,D'!$F$7:$F$55,MATCH(A15,'PR Cash Reconciliation_2A,B,C,D'!$A$7:$A$55,0)),"")</f>
        <v>0</v>
      </c>
      <c r="G15" s="1282">
        <f>IFERROR(INDEX('PR Cash Reconciliation_2A,B,C,D'!$G$7:$G$55,MATCH(A15,'PR Cash Reconciliation_2A,B,C,D'!$A$7:$A$55,0)),"")</f>
        <v>0</v>
      </c>
      <c r="H15" s="1188" t="str">
        <f>IFERROR(IF(INDEX('PR Cash Reconciliation_2A,B,C,D'!$I$7:$I$55,MATCH(A15,'PR Cash Reconciliation_2A,B,C,D'!$A$7:$A$55,0))=0,"",INDEX('PR Cash Reconciliation_2A,B,C,D'!$I$7:$I$55,MATCH(A15,'PR Cash Reconciliation_2A,B,C,D'!$A$7:$A$55,0))),"")</f>
        <v/>
      </c>
    </row>
    <row r="16" spans="1:8" x14ac:dyDescent="0.2">
      <c r="A16" s="1188" t="s">
        <v>462</v>
      </c>
      <c r="B16" s="1187" t="s">
        <v>1103</v>
      </c>
      <c r="C16" s="1282">
        <f>IFERROR(INDEX('PR Cash Reconciliation_2A,B,C,D'!$C$7:$C$55,MATCH(A16,'PR Cash Reconciliation_2A,B,C,D'!$A$7:$A$55,0)),"")</f>
        <v>0</v>
      </c>
      <c r="D16" s="1282">
        <f>IFERROR(INDEX('PR Cash Reconciliation_2A,B,C,D'!$D$7:$D$55,MATCH(A16,'PR Cash Reconciliation_2A,B,C,D'!$A$7:$A$55,0)),"")</f>
        <v>2772899.8540884708</v>
      </c>
      <c r="E16" s="1188" t="str">
        <f>IFERROR(IF(INDEX('PR Cash Reconciliation_2A,B,C,D'!$E$7:$E$55,MATCH(A16,'PR Cash Reconciliation_2A,B,C,D'!$A$7:$A$55,0))=0,"",INDEX('PR Cash Reconciliation_2A,B,C,D'!$E$7:$E$55,MATCH(A16,'PR Cash Reconciliation_2A,B,C,D'!$A$7:$A$55,0))),"")</f>
        <v/>
      </c>
      <c r="F16" s="1282">
        <f>IFERROR(INDEX('PR Cash Reconciliation_2A,B,C,D'!$F$7:$F$55,MATCH(A16,'PR Cash Reconciliation_2A,B,C,D'!$A$7:$A$55,0)),"")</f>
        <v>0</v>
      </c>
      <c r="G16" s="1282">
        <f>IFERROR(INDEX('PR Cash Reconciliation_2A,B,C,D'!$G$7:$G$55,MATCH(A16,'PR Cash Reconciliation_2A,B,C,D'!$A$7:$A$55,0)),"")</f>
        <v>0</v>
      </c>
      <c r="H16" s="1188" t="str">
        <f>IFERROR(IF(INDEX('PR Cash Reconciliation_2A,B,C,D'!$I$7:$I$55,MATCH(A16,'PR Cash Reconciliation_2A,B,C,D'!$A$7:$A$55,0))=0,"",INDEX('PR Cash Reconciliation_2A,B,C,D'!$I$7:$I$55,MATCH(A16,'PR Cash Reconciliation_2A,B,C,D'!$A$7:$A$55,0))),"")</f>
        <v/>
      </c>
    </row>
    <row r="17" spans="1:8" x14ac:dyDescent="0.2">
      <c r="A17" s="1188" t="s">
        <v>463</v>
      </c>
      <c r="B17" s="1187" t="s">
        <v>1104</v>
      </c>
      <c r="C17" s="1282">
        <f>IFERROR(INDEX('PR Cash Reconciliation_2A,B,C,D'!$C$7:$C$55,MATCH(A17,'PR Cash Reconciliation_2A,B,C,D'!$A$7:$A$55,0)),"")</f>
        <v>0</v>
      </c>
      <c r="D17" s="1282">
        <f>IFERROR(INDEX('PR Cash Reconciliation_2A,B,C,D'!$D$7:$D$55,MATCH(A17,'PR Cash Reconciliation_2A,B,C,D'!$A$7:$A$55,0)),"")</f>
        <v>-196540.66090772301</v>
      </c>
      <c r="E17" s="1188" t="str">
        <f>IFERROR(IF(INDEX('PR Cash Reconciliation_2A,B,C,D'!$E$7:$E$55,MATCH(A17,'PR Cash Reconciliation_2A,B,C,D'!$A$7:$A$55,0))=0,"",INDEX('PR Cash Reconciliation_2A,B,C,D'!$E$7:$E$55,MATCH(A17,'PR Cash Reconciliation_2A,B,C,D'!$A$7:$A$55,0))),"")</f>
        <v>Expenses related to SSF grant close out period.</v>
      </c>
      <c r="F17" s="1282">
        <f>IFERROR(INDEX('PR Cash Reconciliation_2A,B,C,D'!$F$7:$F$55,MATCH(A17,'PR Cash Reconciliation_2A,B,C,D'!$A$7:$A$55,0)),"")</f>
        <v>0</v>
      </c>
      <c r="G17" s="1282">
        <f>IFERROR(INDEX('PR Cash Reconciliation_2A,B,C,D'!$G$7:$G$55,MATCH(A17,'PR Cash Reconciliation_2A,B,C,D'!$A$7:$A$55,0)),"")</f>
        <v>0</v>
      </c>
      <c r="H17" s="1188" t="str">
        <f>IFERROR(IF(INDEX('PR Cash Reconciliation_2A,B,C,D'!$I$7:$I$55,MATCH(A17,'PR Cash Reconciliation_2A,B,C,D'!$A$7:$A$55,0))=0,"",INDEX('PR Cash Reconciliation_2A,B,C,D'!$I$7:$I$55,MATCH(A17,'PR Cash Reconciliation_2A,B,C,D'!$A$7:$A$55,0))),"")</f>
        <v/>
      </c>
    </row>
    <row r="18" spans="1:8" x14ac:dyDescent="0.2">
      <c r="A18" s="1188" t="s">
        <v>464</v>
      </c>
      <c r="B18" s="1187" t="s">
        <v>1105</v>
      </c>
      <c r="C18" s="1282">
        <f>IFERROR(INDEX('PR Cash Reconciliation_2A,B,C,D'!$C$7:$C$55,MATCH(A18,'PR Cash Reconciliation_2A,B,C,D'!$A$7:$A$55,0)),"")</f>
        <v>0</v>
      </c>
      <c r="D18" s="1282">
        <f>IFERROR(INDEX('PR Cash Reconciliation_2A,B,C,D'!$D$7:$D$55,MATCH(A18,'PR Cash Reconciliation_2A,B,C,D'!$A$7:$A$55,0)),"")</f>
        <v>13805.321919656824</v>
      </c>
      <c r="E18" s="1188" t="str">
        <f>IFERROR(IF(INDEX('PR Cash Reconciliation_2A,B,C,D'!$E$7:$E$55,MATCH(A18,'PR Cash Reconciliation_2A,B,C,D'!$A$7:$A$55,0))=0,"",INDEX('PR Cash Reconciliation_2A,B,C,D'!$E$7:$E$55,MATCH(A18,'PR Cash Reconciliation_2A,B,C,D'!$A$7:$A$55,0))),"")</f>
        <v/>
      </c>
      <c r="F18" s="1282">
        <f>IFERROR(INDEX('PR Cash Reconciliation_2A,B,C,D'!$F$7:$F$55,MATCH(A18,'PR Cash Reconciliation_2A,B,C,D'!$A$7:$A$55,0)),"")</f>
        <v>0</v>
      </c>
      <c r="G18" s="1282">
        <f>IFERROR(INDEX('PR Cash Reconciliation_2A,B,C,D'!$G$7:$G$55,MATCH(A18,'PR Cash Reconciliation_2A,B,C,D'!$A$7:$A$55,0)),"")</f>
        <v>0</v>
      </c>
      <c r="H18" s="1188" t="str">
        <f>IFERROR(IF(INDEX('PR Cash Reconciliation_2A,B,C,D'!$I$7:$I$55,MATCH(A18,'PR Cash Reconciliation_2A,B,C,D'!$A$7:$A$55,0))=0,"",INDEX('PR Cash Reconciliation_2A,B,C,D'!$I$7:$I$55,MATCH(A18,'PR Cash Reconciliation_2A,B,C,D'!$A$7:$A$55,0))),"")</f>
        <v/>
      </c>
    </row>
    <row r="19" spans="1:8" x14ac:dyDescent="0.2">
      <c r="A19" s="1188" t="s">
        <v>465</v>
      </c>
      <c r="B19" s="1187" t="s">
        <v>1106</v>
      </c>
      <c r="C19" s="1282">
        <f>IFERROR(INDEX('PR Cash Reconciliation_2A,B,C,D'!$C$7:$C$55,MATCH(A19,'PR Cash Reconciliation_2A,B,C,D'!$A$7:$A$55,0)),"")</f>
        <v>0</v>
      </c>
      <c r="D19" s="1282">
        <f>IFERROR(INDEX('PR Cash Reconciliation_2A,B,C,D'!$D$7:$D$55,MATCH(A19,'PR Cash Reconciliation_2A,B,C,D'!$A$7:$A$55,0)),"")</f>
        <v>0</v>
      </c>
      <c r="E19" s="1188" t="str">
        <f>IFERROR(IF(INDEX('PR Cash Reconciliation_2A,B,C,D'!$E$7:$E$55,MATCH(A19,'PR Cash Reconciliation_2A,B,C,D'!$A$7:$A$55,0))=0,"",INDEX('PR Cash Reconciliation_2A,B,C,D'!$E$7:$E$55,MATCH(A19,'PR Cash Reconciliation_2A,B,C,D'!$A$7:$A$55,0))),"")</f>
        <v/>
      </c>
      <c r="F19" s="1282">
        <f>IFERROR(INDEX('PR Cash Reconciliation_2A,B,C,D'!$F$7:$F$55,MATCH(A19,'PR Cash Reconciliation_2A,B,C,D'!$A$7:$A$55,0)),"")</f>
        <v>0</v>
      </c>
      <c r="G19" s="1282">
        <f>IFERROR(INDEX('PR Cash Reconciliation_2A,B,C,D'!$G$7:$G$55,MATCH(A19,'PR Cash Reconciliation_2A,B,C,D'!$A$7:$A$55,0)),"")</f>
        <v>0</v>
      </c>
      <c r="H19" s="1188" t="str">
        <f>IFERROR(IF(INDEX('PR Cash Reconciliation_2A,B,C,D'!$I$7:$I$55,MATCH(A19,'PR Cash Reconciliation_2A,B,C,D'!$A$7:$A$55,0))=0,"",INDEX('PR Cash Reconciliation_2A,B,C,D'!$I$7:$I$55,MATCH(A19,'PR Cash Reconciliation_2A,B,C,D'!$A$7:$A$55,0))),"")</f>
        <v/>
      </c>
    </row>
    <row r="20" spans="1:8" x14ac:dyDescent="0.2">
      <c r="A20" s="1188" t="s">
        <v>466</v>
      </c>
      <c r="B20" s="1187" t="s">
        <v>1107</v>
      </c>
      <c r="C20" s="1282">
        <f>IFERROR(INDEX('PR Cash Reconciliation_2A,B,C,D'!$C$7:$C$55,MATCH(A20,'PR Cash Reconciliation_2A,B,C,D'!$A$7:$A$55,0)),"")</f>
        <v>0</v>
      </c>
      <c r="D20" s="1282">
        <f>IFERROR(INDEX('PR Cash Reconciliation_2A,B,C,D'!$D$7:$D$55,MATCH(A20,'PR Cash Reconciliation_2A,B,C,D'!$A$7:$A$55,0)),"")</f>
        <v>0</v>
      </c>
      <c r="E20" s="1188" t="str">
        <f>IFERROR(IF(INDEX('PR Cash Reconciliation_2A,B,C,D'!$E$7:$E$55,MATCH(A20,'PR Cash Reconciliation_2A,B,C,D'!$A$7:$A$55,0))=0,"",INDEX('PR Cash Reconciliation_2A,B,C,D'!$E$7:$E$55,MATCH(A20,'PR Cash Reconciliation_2A,B,C,D'!$A$7:$A$55,0))),"")</f>
        <v/>
      </c>
      <c r="F20" s="1282">
        <f>IFERROR(INDEX('PR Cash Reconciliation_2A,B,C,D'!$F$7:$F$55,MATCH(A20,'PR Cash Reconciliation_2A,B,C,D'!$A$7:$A$55,0)),"")</f>
        <v>0</v>
      </c>
      <c r="G20" s="1282">
        <f>IFERROR(INDEX('PR Cash Reconciliation_2A,B,C,D'!$G$7:$G$55,MATCH(A20,'PR Cash Reconciliation_2A,B,C,D'!$A$7:$A$55,0)),"")</f>
        <v>0</v>
      </c>
      <c r="H20" s="1188" t="str">
        <f>IFERROR(IF(INDEX('PR Cash Reconciliation_2A,B,C,D'!$I$7:$I$55,MATCH(A20,'PR Cash Reconciliation_2A,B,C,D'!$A$7:$A$55,0))=0,"",INDEX('PR Cash Reconciliation_2A,B,C,D'!$I$7:$I$55,MATCH(A20,'PR Cash Reconciliation_2A,B,C,D'!$A$7:$A$55,0))),"")</f>
        <v/>
      </c>
    </row>
    <row r="21" spans="1:8" x14ac:dyDescent="0.2">
      <c r="A21" s="1188" t="s">
        <v>594</v>
      </c>
      <c r="B21" s="1187" t="s">
        <v>1108</v>
      </c>
      <c r="C21" s="1282">
        <f>IFERROR(INDEX('PR Cash Reconciliation_2A,B,C,D'!$C$7:$C$55,MATCH(A21,'PR Cash Reconciliation_2A,B,C,D'!$A$7:$A$55,0)),"")</f>
        <v>0</v>
      </c>
      <c r="D21" s="1282">
        <f>IFERROR(INDEX('PR Cash Reconciliation_2A,B,C,D'!$D$7:$D$55,MATCH(A21,'PR Cash Reconciliation_2A,B,C,D'!$A$7:$A$55,0)),"")</f>
        <v>0</v>
      </c>
      <c r="E21" s="1188" t="str">
        <f>IFERROR(IF(INDEX('PR Cash Reconciliation_2A,B,C,D'!$E$7:$E$55,MATCH(A21,'PR Cash Reconciliation_2A,B,C,D'!$A$7:$A$55,0))=0,"",INDEX('PR Cash Reconciliation_2A,B,C,D'!$E$7:$E$55,MATCH(A21,'PR Cash Reconciliation_2A,B,C,D'!$A$7:$A$55,0))),"")</f>
        <v/>
      </c>
      <c r="F21" s="1282">
        <f>IFERROR(INDEX('PR Cash Reconciliation_2A,B,C,D'!$F$7:$F$55,MATCH(A21,'PR Cash Reconciliation_2A,B,C,D'!$A$7:$A$55,0)),"")</f>
        <v>0</v>
      </c>
      <c r="G21" s="1282">
        <f>IFERROR(INDEX('PR Cash Reconciliation_2A,B,C,D'!$G$7:$G$55,MATCH(A21,'PR Cash Reconciliation_2A,B,C,D'!$A$7:$A$55,0)),"")</f>
        <v>0</v>
      </c>
      <c r="H21" s="1188" t="str">
        <f>IFERROR(IF(INDEX('PR Cash Reconciliation_2A,B,C,D'!$I$7:$I$55,MATCH(A21,'PR Cash Reconciliation_2A,B,C,D'!$A$7:$A$55,0))=0,"",INDEX('PR Cash Reconciliation_2A,B,C,D'!$I$7:$I$55,MATCH(A21,'PR Cash Reconciliation_2A,B,C,D'!$A$7:$A$55,0))),"")</f>
        <v/>
      </c>
    </row>
    <row r="22" spans="1:8" x14ac:dyDescent="0.2">
      <c r="A22" s="1188" t="s">
        <v>467</v>
      </c>
      <c r="B22" s="1187" t="s">
        <v>1109</v>
      </c>
      <c r="C22" s="1282">
        <f>IFERROR(INDEX('PR Cash Reconciliation_2A,B,C,D'!$C$7:$C$55,MATCH(A22,'PR Cash Reconciliation_2A,B,C,D'!$A$7:$A$55,0)),"")</f>
        <v>0</v>
      </c>
      <c r="D22" s="1282">
        <f>IFERROR(INDEX('PR Cash Reconciliation_2A,B,C,D'!$D$7:$D$55,MATCH(A22,'PR Cash Reconciliation_2A,B,C,D'!$A$7:$A$55,0)),"")</f>
        <v>3081048.846923463</v>
      </c>
      <c r="E22" s="1188" t="str">
        <f>IFERROR(IF(INDEX('PR Cash Reconciliation_2A,B,C,D'!$E$7:$E$55,MATCH(A22,'PR Cash Reconciliation_2A,B,C,D'!$A$7:$A$55,0))=0,"",INDEX('PR Cash Reconciliation_2A,B,C,D'!$E$7:$E$55,MATCH(A22,'PR Cash Reconciliation_2A,B,C,D'!$A$7:$A$55,0))),"")</f>
        <v>Includes SSF grant close out period cash balance GEL 265,896.13</v>
      </c>
      <c r="F22" s="1282">
        <f>IFERROR(INDEX('PR Cash Reconciliation_2A,B,C,D'!$F$7:$F$55,MATCH(A22,'PR Cash Reconciliation_2A,B,C,D'!$A$7:$A$55,0)),"")</f>
        <v>0</v>
      </c>
      <c r="G22" s="1282">
        <f>IFERROR(INDEX('PR Cash Reconciliation_2A,B,C,D'!$G$7:$G$55,MATCH(A22,'PR Cash Reconciliation_2A,B,C,D'!$A$7:$A$55,0)),"")</f>
        <v>0</v>
      </c>
      <c r="H22" s="1188" t="str">
        <f>IFERROR(IF(INDEX('PR Cash Reconciliation_2A,B,C,D'!$I$7:$I$55,MATCH(A22,'PR Cash Reconciliation_2A,B,C,D'!$A$7:$A$55,0))=0,"",INDEX('PR Cash Reconciliation_2A,B,C,D'!$I$7:$I$55,MATCH(A22,'PR Cash Reconciliation_2A,B,C,D'!$A$7:$A$55,0))),"")</f>
        <v/>
      </c>
    </row>
    <row r="23" spans="1:8" x14ac:dyDescent="0.2">
      <c r="A23" s="1188" t="s">
        <v>468</v>
      </c>
      <c r="B23" s="1187" t="s">
        <v>1110</v>
      </c>
      <c r="C23" s="1282">
        <f>IFERROR(INDEX('PR Cash Reconciliation_2A,B,C,D'!$C$7:$C$55,MATCH(A23,'PR Cash Reconciliation_2A,B,C,D'!$A$7:$A$55,0)),"")</f>
        <v>0</v>
      </c>
      <c r="D23" s="1282">
        <f>IFERROR(INDEX('PR Cash Reconciliation_2A,B,C,D'!$D$7:$D$55,MATCH(A23,'PR Cash Reconciliation_2A,B,C,D'!$A$7:$A$55,0)),"")</f>
        <v>16274.226419250655</v>
      </c>
      <c r="E23" s="1188" t="str">
        <f>IFERROR(IF(INDEX('PR Cash Reconciliation_2A,B,C,D'!$E$7:$E$55,MATCH(A23,'PR Cash Reconciliation_2A,B,C,D'!$A$7:$A$55,0))=0,"",INDEX('PR Cash Reconciliation_2A,B,C,D'!$E$7:$E$55,MATCH(A23,'PR Cash Reconciliation_2A,B,C,D'!$A$7:$A$55,0))),"")</f>
        <v/>
      </c>
      <c r="F23" s="1282">
        <f>IFERROR(INDEX('PR Cash Reconciliation_2A,B,C,D'!$F$7:$F$55,MATCH(A23,'PR Cash Reconciliation_2A,B,C,D'!$A$7:$A$55,0)),"")</f>
        <v>0</v>
      </c>
      <c r="G23" s="1282">
        <f>IFERROR(INDEX('PR Cash Reconciliation_2A,B,C,D'!$G$7:$G$55,MATCH(A23,'PR Cash Reconciliation_2A,B,C,D'!$A$7:$A$55,0)),"")</f>
        <v>0</v>
      </c>
      <c r="H23" s="1188" t="str">
        <f>IFERROR(IF(INDEX('PR Cash Reconciliation_2A,B,C,D'!$I$7:$I$55,MATCH(A23,'PR Cash Reconciliation_2A,B,C,D'!$A$7:$A$55,0))=0,"",INDEX('PR Cash Reconciliation_2A,B,C,D'!$I$7:$I$55,MATCH(A23,'PR Cash Reconciliation_2A,B,C,D'!$A$7:$A$55,0))),"")</f>
        <v/>
      </c>
    </row>
    <row r="24" spans="1:8" x14ac:dyDescent="0.2">
      <c r="A24" s="1188" t="s">
        <v>469</v>
      </c>
      <c r="B24" s="1187" t="s">
        <v>1111</v>
      </c>
      <c r="C24" s="1282">
        <f>IFERROR(INDEX('PR Cash Reconciliation_2A,B,C,D'!$C$7:$C$55,MATCH(A24,'PR Cash Reconciliation_2A,B,C,D'!$A$7:$A$55,0)),"")</f>
        <v>0</v>
      </c>
      <c r="D24" s="1282">
        <f>IFERROR(INDEX('PR Cash Reconciliation_2A,B,C,D'!$D$7:$D$55,MATCH(A24,'PR Cash Reconciliation_2A,B,C,D'!$A$7:$A$55,0)),"")</f>
        <v>3097323.0733427135</v>
      </c>
      <c r="E24" s="1188" t="str">
        <f>IFERROR(IF(INDEX('PR Cash Reconciliation_2A,B,C,D'!$E$7:$E$55,MATCH(A24,'PR Cash Reconciliation_2A,B,C,D'!$A$7:$A$55,0))=0,"",INDEX('PR Cash Reconciliation_2A,B,C,D'!$E$7:$E$55,MATCH(A24,'PR Cash Reconciliation_2A,B,C,D'!$A$7:$A$55,0))),"")</f>
        <v/>
      </c>
      <c r="F24" s="1282">
        <f>IFERROR(INDEX('PR Cash Reconciliation_2A,B,C,D'!$F$7:$F$55,MATCH(A24,'PR Cash Reconciliation_2A,B,C,D'!$A$7:$A$55,0)),"")</f>
        <v>0</v>
      </c>
      <c r="G24" s="1282">
        <f>IFERROR(INDEX('PR Cash Reconciliation_2A,B,C,D'!$G$7:$G$55,MATCH(A24,'PR Cash Reconciliation_2A,B,C,D'!$A$7:$A$55,0)),"")</f>
        <v>0</v>
      </c>
      <c r="H24" s="1188" t="str">
        <f>IFERROR(IF(INDEX('PR Cash Reconciliation_2A,B,C,D'!$I$7:$I$55,MATCH(A24,'PR Cash Reconciliation_2A,B,C,D'!$A$7:$A$55,0))=0,"",INDEX('PR Cash Reconciliation_2A,B,C,D'!$I$7:$I$55,MATCH(A24,'PR Cash Reconciliation_2A,B,C,D'!$A$7:$A$55,0))),"")</f>
        <v/>
      </c>
    </row>
    <row r="25" spans="1:8" x14ac:dyDescent="0.2">
      <c r="A25" s="1188" t="s">
        <v>470</v>
      </c>
      <c r="B25" s="1187" t="s">
        <v>1112</v>
      </c>
      <c r="C25" s="1282">
        <f>IFERROR(INDEX('PR Cash Reconciliation_2A,B,C,D'!$C$7:$C$55,MATCH(A25,'PR Cash Reconciliation_2A,B,C,D'!$A$7:$A$55,0)),"")</f>
        <v>0</v>
      </c>
      <c r="D25" s="1282">
        <f>IFERROR(INDEX('PR Cash Reconciliation_2A,B,C,D'!$D$7:$D$55,MATCH(A25,'PR Cash Reconciliation_2A,B,C,D'!$A$7:$A$55,0)),"")</f>
        <v>0</v>
      </c>
      <c r="E25" s="1188" t="str">
        <f>IFERROR(IF(INDEX('PR Cash Reconciliation_2A,B,C,D'!$E$7:$E$55,MATCH(A25,'PR Cash Reconciliation_2A,B,C,D'!$A$7:$A$55,0))=0,"",INDEX('PR Cash Reconciliation_2A,B,C,D'!$E$7:$E$55,MATCH(A25,'PR Cash Reconciliation_2A,B,C,D'!$A$7:$A$55,0))),"")</f>
        <v/>
      </c>
      <c r="F25" s="1282">
        <f>IFERROR(INDEX('PR Cash Reconciliation_2A,B,C,D'!$F$7:$F$55,MATCH(A25,'PR Cash Reconciliation_2A,B,C,D'!$A$7:$A$55,0)),"")</f>
        <v>0</v>
      </c>
      <c r="G25" s="1282">
        <f>IFERROR(INDEX('PR Cash Reconciliation_2A,B,C,D'!$G$7:$G$55,MATCH(A25,'PR Cash Reconciliation_2A,B,C,D'!$A$7:$A$55,0)),"")</f>
        <v>0</v>
      </c>
      <c r="H25" s="1188" t="str">
        <f>IFERROR(IF(INDEX('PR Cash Reconciliation_2A,B,C,D'!$I$7:$I$55,MATCH(A25,'PR Cash Reconciliation_2A,B,C,D'!$A$7:$A$55,0))=0,"",INDEX('PR Cash Reconciliation_2A,B,C,D'!$I$7:$I$55,MATCH(A25,'PR Cash Reconciliation_2A,B,C,D'!$A$7:$A$55,0))),"")</f>
        <v/>
      </c>
    </row>
    <row r="26" spans="1:8" x14ac:dyDescent="0.2">
      <c r="A26" s="1188" t="s">
        <v>471</v>
      </c>
      <c r="B26" s="1187" t="s">
        <v>1113</v>
      </c>
      <c r="C26" s="1282">
        <f>IFERROR(INDEX('PR Cash Reconciliation_2A,B,C,D'!$C$7:$C$55,MATCH(A26,'PR Cash Reconciliation_2A,B,C,D'!$A$7:$A$55,0)),"")</f>
        <v>0</v>
      </c>
      <c r="D26" s="1282">
        <f>IFERROR(INDEX('PR Cash Reconciliation_2A,B,C,D'!$D$7:$D$55,MATCH(A26,'PR Cash Reconciliation_2A,B,C,D'!$A$7:$A$55,0)),"")</f>
        <v>0</v>
      </c>
      <c r="E26" s="1188" t="str">
        <f>IFERROR(IF(INDEX('PR Cash Reconciliation_2A,B,C,D'!$E$7:$E$55,MATCH(A26,'PR Cash Reconciliation_2A,B,C,D'!$A$7:$A$55,0))=0,"",INDEX('PR Cash Reconciliation_2A,B,C,D'!$E$7:$E$55,MATCH(A26,'PR Cash Reconciliation_2A,B,C,D'!$A$7:$A$55,0))),"")</f>
        <v/>
      </c>
      <c r="F26" s="1282">
        <f>IFERROR(INDEX('PR Cash Reconciliation_2A,B,C,D'!$F$7:$F$55,MATCH(A26,'PR Cash Reconciliation_2A,B,C,D'!$A$7:$A$55,0)),"")</f>
        <v>0</v>
      </c>
      <c r="G26" s="1282">
        <f>IFERROR(INDEX('PR Cash Reconciliation_2A,B,C,D'!$G$7:$G$55,MATCH(A26,'PR Cash Reconciliation_2A,B,C,D'!$A$7:$A$55,0)),"")</f>
        <v>0</v>
      </c>
      <c r="H26" s="1188" t="str">
        <f>IFERROR(IF(INDEX('PR Cash Reconciliation_2A,B,C,D'!$I$7:$I$55,MATCH(A26,'PR Cash Reconciliation_2A,B,C,D'!$A$7:$A$55,0))=0,"",INDEX('PR Cash Reconciliation_2A,B,C,D'!$I$7:$I$55,MATCH(A26,'PR Cash Reconciliation_2A,B,C,D'!$A$7:$A$55,0))),"")</f>
        <v/>
      </c>
    </row>
    <row r="27" spans="1:8" x14ac:dyDescent="0.2">
      <c r="A27" s="1188" t="s">
        <v>472</v>
      </c>
      <c r="B27" s="1187" t="s">
        <v>1114</v>
      </c>
      <c r="C27" s="1282">
        <f>IFERROR(INDEX('PR Cash Reconciliation_2A,B,C,D'!$C$7:$C$55,MATCH(A27,'PR Cash Reconciliation_2A,B,C,D'!$A$7:$A$55,0)),"")</f>
        <v>0</v>
      </c>
      <c r="D27" s="1282">
        <f>IFERROR(INDEX('PR Cash Reconciliation_2A,B,C,D'!$D$7:$D$55,MATCH(A27,'PR Cash Reconciliation_2A,B,C,D'!$A$7:$A$55,0)),"")</f>
        <v>655915</v>
      </c>
      <c r="E27" s="1188" t="str">
        <f>IFERROR(IF(INDEX('PR Cash Reconciliation_2A,B,C,D'!$E$7:$E$55,MATCH(A27,'PR Cash Reconciliation_2A,B,C,D'!$A$7:$A$55,0))=0,"",INDEX('PR Cash Reconciliation_2A,B,C,D'!$E$7:$E$55,MATCH(A27,'PR Cash Reconciliation_2A,B,C,D'!$A$7:$A$55,0))),"")</f>
        <v/>
      </c>
      <c r="F27" s="1282">
        <f>IFERROR(INDEX('PR Cash Reconciliation_2A,B,C,D'!$F$7:$F$55,MATCH(A27,'PR Cash Reconciliation_2A,B,C,D'!$A$7:$A$55,0)),"")</f>
        <v>0</v>
      </c>
      <c r="G27" s="1282">
        <f>IFERROR(INDEX('PR Cash Reconciliation_2A,B,C,D'!$G$7:$G$55,MATCH(A27,'PR Cash Reconciliation_2A,B,C,D'!$A$7:$A$55,0)),"")</f>
        <v>0</v>
      </c>
      <c r="H27" s="1188" t="str">
        <f>IFERROR(IF(INDEX('PR Cash Reconciliation_2A,B,C,D'!$I$7:$I$55,MATCH(A27,'PR Cash Reconciliation_2A,B,C,D'!$A$7:$A$55,0))=0,"",INDEX('PR Cash Reconciliation_2A,B,C,D'!$I$7:$I$55,MATCH(A27,'PR Cash Reconciliation_2A,B,C,D'!$A$7:$A$55,0))),"")</f>
        <v/>
      </c>
    </row>
    <row r="28" spans="1:8" x14ac:dyDescent="0.2">
      <c r="A28" s="1188" t="s">
        <v>473</v>
      </c>
      <c r="B28" s="1187" t="s">
        <v>1115</v>
      </c>
      <c r="C28" s="1282">
        <f>IFERROR(INDEX('PR Cash Reconciliation_2A,B,C,D'!$C$7:$C$55,MATCH(A28,'PR Cash Reconciliation_2A,B,C,D'!$A$7:$A$55,0)),"")</f>
        <v>0</v>
      </c>
      <c r="D28" s="1282">
        <f>IFERROR(INDEX('PR Cash Reconciliation_2A,B,C,D'!$D$7:$D$55,MATCH(A28,'PR Cash Reconciliation_2A,B,C,D'!$A$7:$A$55,0)),"")</f>
        <v>258298.63822235935</v>
      </c>
      <c r="E28" s="1188" t="str">
        <f>IFERROR(IF(INDEX('PR Cash Reconciliation_2A,B,C,D'!$E$7:$E$55,MATCH(A28,'PR Cash Reconciliation_2A,B,C,D'!$A$7:$A$55,0))=0,"",INDEX('PR Cash Reconciliation_2A,B,C,D'!$E$7:$E$55,MATCH(A28,'PR Cash Reconciliation_2A,B,C,D'!$A$7:$A$55,0))),"")</f>
        <v/>
      </c>
      <c r="F28" s="1282">
        <f>IFERROR(INDEX('PR Cash Reconciliation_2A,B,C,D'!$F$7:$F$55,MATCH(A28,'PR Cash Reconciliation_2A,B,C,D'!$A$7:$A$55,0)),"")</f>
        <v>0</v>
      </c>
      <c r="G28" s="1282">
        <f>IFERROR(INDEX('PR Cash Reconciliation_2A,B,C,D'!$G$7:$G$55,MATCH(A28,'PR Cash Reconciliation_2A,B,C,D'!$A$7:$A$55,0)),"")</f>
        <v>0</v>
      </c>
      <c r="H28" s="1188" t="str">
        <f>IFERROR(IF(INDEX('PR Cash Reconciliation_2A,B,C,D'!$I$7:$I$55,MATCH(A28,'PR Cash Reconciliation_2A,B,C,D'!$A$7:$A$55,0))=0,"",INDEX('PR Cash Reconciliation_2A,B,C,D'!$I$7:$I$55,MATCH(A28,'PR Cash Reconciliation_2A,B,C,D'!$A$7:$A$55,0))),"")</f>
        <v/>
      </c>
    </row>
    <row r="29" spans="1:8" x14ac:dyDescent="0.2">
      <c r="A29" s="1188" t="s">
        <v>474</v>
      </c>
      <c r="B29" s="1187" t="s">
        <v>1116</v>
      </c>
      <c r="C29" s="1282">
        <f>IFERROR(INDEX('PR Cash Reconciliation_2A,B,C,D'!$C$7:$C$55,MATCH(A29,'PR Cash Reconciliation_2A,B,C,D'!$A$7:$A$55,0)),"")</f>
        <v>0</v>
      </c>
      <c r="D29" s="1282">
        <f>IFERROR(INDEX('PR Cash Reconciliation_2A,B,C,D'!$D$7:$D$55,MATCH(A29,'PR Cash Reconciliation_2A,B,C,D'!$A$7:$A$55,0)),"")</f>
        <v>885308.92678034096</v>
      </c>
      <c r="E29" s="1188" t="str">
        <f>IFERROR(IF(INDEX('PR Cash Reconciliation_2A,B,C,D'!$E$7:$E$55,MATCH(A29,'PR Cash Reconciliation_2A,B,C,D'!$A$7:$A$55,0))=0,"",INDEX('PR Cash Reconciliation_2A,B,C,D'!$E$7:$E$55,MATCH(A29,'PR Cash Reconciliation_2A,B,C,D'!$A$7:$A$55,0))),"")</f>
        <v/>
      </c>
      <c r="F29" s="1282">
        <f>IFERROR(INDEX('PR Cash Reconciliation_2A,B,C,D'!$F$7:$F$55,MATCH(A29,'PR Cash Reconciliation_2A,B,C,D'!$A$7:$A$55,0)),"")</f>
        <v>0</v>
      </c>
      <c r="G29" s="1282">
        <f>IFERROR(INDEX('PR Cash Reconciliation_2A,B,C,D'!$G$7:$G$55,MATCH(A29,'PR Cash Reconciliation_2A,B,C,D'!$A$7:$A$55,0)),"")</f>
        <v>0</v>
      </c>
      <c r="H29" s="1188" t="str">
        <f>IFERROR(IF(INDEX('PR Cash Reconciliation_2A,B,C,D'!$I$7:$I$55,MATCH(A29,'PR Cash Reconciliation_2A,B,C,D'!$A$7:$A$55,0))=0,"",INDEX('PR Cash Reconciliation_2A,B,C,D'!$I$7:$I$55,MATCH(A29,'PR Cash Reconciliation_2A,B,C,D'!$A$7:$A$55,0))),"")</f>
        <v/>
      </c>
    </row>
    <row r="30" spans="1:8" x14ac:dyDescent="0.2">
      <c r="A30" s="1188" t="s">
        <v>1117</v>
      </c>
      <c r="B30" s="1187" t="s">
        <v>1118</v>
      </c>
      <c r="C30" s="1282" t="str">
        <f>IFERROR(INDEX('PR Cash Reconciliation_2A,B,C,D'!$C$7:$C$55,MATCH(A30,'PR Cash Reconciliation_2A,B,C,D'!$A$7:$A$55,0)),"")</f>
        <v/>
      </c>
      <c r="D30" s="1282" t="str">
        <f>IFERROR(INDEX('PR Cash Reconciliation_2A,B,C,D'!$D$7:$D$55,MATCH(A30,'PR Cash Reconciliation_2A,B,C,D'!$A$7:$A$55,0)),"")</f>
        <v/>
      </c>
      <c r="E30" s="1188" t="str">
        <f>IFERROR(IF(INDEX('PR Cash Reconciliation_2A,B,C,D'!$E$7:$E$55,MATCH(A30,'PR Cash Reconciliation_2A,B,C,D'!$A$7:$A$55,0))=0,"",INDEX('PR Cash Reconciliation_2A,B,C,D'!$E$7:$E$55,MATCH(A30,'PR Cash Reconciliation_2A,B,C,D'!$A$7:$A$55,0))),"")</f>
        <v/>
      </c>
      <c r="F30" s="1282" t="str">
        <f>IFERROR(INDEX('PR Cash Reconciliation_2A,B,C,D'!$F$7:$F$55,MATCH(A30,'PR Cash Reconciliation_2A,B,C,D'!$A$7:$A$55,0)),"")</f>
        <v/>
      </c>
      <c r="G30" s="1282" t="str">
        <f>IFERROR(INDEX('PR Cash Reconciliation_2A,B,C,D'!$G$7:$G$55,MATCH(A30,'PR Cash Reconciliation_2A,B,C,D'!$A$7:$A$55,0)),"")</f>
        <v/>
      </c>
      <c r="H30" s="1188" t="str">
        <f>IFERROR(IF(INDEX('PR Cash Reconciliation_2A,B,C,D'!$I$7:$I$55,MATCH(A30,'PR Cash Reconciliation_2A,B,C,D'!$A$7:$A$55,0))=0,"",INDEX('PR Cash Reconciliation_2A,B,C,D'!$I$7:$I$55,MATCH(A30,'PR Cash Reconciliation_2A,B,C,D'!$A$7:$A$55,0))),"")</f>
        <v/>
      </c>
    </row>
    <row r="31" spans="1:8" x14ac:dyDescent="0.2">
      <c r="A31" s="1188" t="s">
        <v>475</v>
      </c>
      <c r="B31" s="1187" t="s">
        <v>1119</v>
      </c>
      <c r="C31" s="1282">
        <f>IFERROR(INDEX('PR Cash Reconciliation_2A,B,C,D'!$C$7:$C$55,MATCH(A31,'PR Cash Reconciliation_2A,B,C,D'!$A$7:$A$55,0)),"")</f>
        <v>0</v>
      </c>
      <c r="D31" s="1282">
        <f>IFERROR(INDEX('PR Cash Reconciliation_2A,B,C,D'!$D$7:$D$55,MATCH(A31,'PR Cash Reconciliation_2A,B,C,D'!$A$7:$A$55,0)),"")</f>
        <v>1143607.5650027003</v>
      </c>
      <c r="E31" s="1188" t="str">
        <f>IFERROR(IF(INDEX('PR Cash Reconciliation_2A,B,C,D'!$E$7:$E$55,MATCH(A31,'PR Cash Reconciliation_2A,B,C,D'!$A$7:$A$55,0))=0,"",INDEX('PR Cash Reconciliation_2A,B,C,D'!$E$7:$E$55,MATCH(A31,'PR Cash Reconciliation_2A,B,C,D'!$A$7:$A$55,0))),"")</f>
        <v/>
      </c>
      <c r="F31" s="1282">
        <f>IFERROR(INDEX('PR Cash Reconciliation_2A,B,C,D'!$F$7:$F$55,MATCH(A31,'PR Cash Reconciliation_2A,B,C,D'!$A$7:$A$55,0)),"")</f>
        <v>0</v>
      </c>
      <c r="G31" s="1282">
        <f>IFERROR(INDEX('PR Cash Reconciliation_2A,B,C,D'!$G$7:$G$55,MATCH(A31,'PR Cash Reconciliation_2A,B,C,D'!$A$7:$A$55,0)),"")</f>
        <v>0</v>
      </c>
      <c r="H31" s="1188" t="str">
        <f>IFERROR(IF(INDEX('PR Cash Reconciliation_2A,B,C,D'!$I$7:$I$55,MATCH(A31,'PR Cash Reconciliation_2A,B,C,D'!$A$7:$A$55,0))=0,"",INDEX('PR Cash Reconciliation_2A,B,C,D'!$I$7:$I$55,MATCH(A31,'PR Cash Reconciliation_2A,B,C,D'!$A$7:$A$55,0))),"")</f>
        <v/>
      </c>
    </row>
    <row r="32" spans="1:8" x14ac:dyDescent="0.2">
      <c r="A32" s="1188" t="s">
        <v>476</v>
      </c>
      <c r="B32" s="1187" t="s">
        <v>1120</v>
      </c>
      <c r="C32" s="1282">
        <f>IFERROR(INDEX('PR Cash Reconciliation_2A,B,C,D'!$C$7:$C$55,MATCH(A32,'PR Cash Reconciliation_2A,B,C,D'!$A$7:$A$55,0)),"")</f>
        <v>0</v>
      </c>
      <c r="D32" s="1282">
        <f>IFERROR(INDEX('PR Cash Reconciliation_2A,B,C,D'!$D$7:$D$55,MATCH(A32,'PR Cash Reconciliation_2A,B,C,D'!$A$7:$A$55,0)),"")</f>
        <v>0</v>
      </c>
      <c r="E32" s="1188" t="str">
        <f>IFERROR(IF(INDEX('PR Cash Reconciliation_2A,B,C,D'!$E$7:$E$55,MATCH(A32,'PR Cash Reconciliation_2A,B,C,D'!$A$7:$A$55,0))=0,"",INDEX('PR Cash Reconciliation_2A,B,C,D'!$E$7:$E$55,MATCH(A32,'PR Cash Reconciliation_2A,B,C,D'!$A$7:$A$55,0))),"")</f>
        <v/>
      </c>
      <c r="F32" s="1282">
        <f>IFERROR(INDEX('PR Cash Reconciliation_2A,B,C,D'!$F$7:$F$55,MATCH(A32,'PR Cash Reconciliation_2A,B,C,D'!$A$7:$A$55,0)),"")</f>
        <v>0</v>
      </c>
      <c r="G32" s="1282">
        <f>IFERROR(INDEX('PR Cash Reconciliation_2A,B,C,D'!$G$7:$G$55,MATCH(A32,'PR Cash Reconciliation_2A,B,C,D'!$A$7:$A$55,0)),"")</f>
        <v>0</v>
      </c>
      <c r="H32" s="1188" t="str">
        <f>IFERROR(IF(INDEX('PR Cash Reconciliation_2A,B,C,D'!$I$7:$I$55,MATCH(A32,'PR Cash Reconciliation_2A,B,C,D'!$A$7:$A$55,0))=0,"",INDEX('PR Cash Reconciliation_2A,B,C,D'!$I$7:$I$55,MATCH(A32,'PR Cash Reconciliation_2A,B,C,D'!$A$7:$A$55,0))),"")</f>
        <v/>
      </c>
    </row>
    <row r="33" spans="1:8" x14ac:dyDescent="0.2">
      <c r="A33" s="1188" t="s">
        <v>477</v>
      </c>
      <c r="B33" s="1187" t="s">
        <v>1121</v>
      </c>
      <c r="C33" s="1282">
        <f>IFERROR(INDEX('PR Cash Reconciliation_2A,B,C,D'!$C$7:$C$55,MATCH(A33,'PR Cash Reconciliation_2A,B,C,D'!$A$7:$A$55,0)),"")</f>
        <v>0</v>
      </c>
      <c r="D33" s="1282">
        <f>IFERROR(INDEX('PR Cash Reconciliation_2A,B,C,D'!$D$7:$D$55,MATCH(A33,'PR Cash Reconciliation_2A,B,C,D'!$A$7:$A$55,0)),"")</f>
        <v>0</v>
      </c>
      <c r="E33" s="1188" t="str">
        <f>IFERROR(IF(INDEX('PR Cash Reconciliation_2A,B,C,D'!$E$7:$E$55,MATCH(A33,'PR Cash Reconciliation_2A,B,C,D'!$A$7:$A$55,0))=0,"",INDEX('PR Cash Reconciliation_2A,B,C,D'!$E$7:$E$55,MATCH(A33,'PR Cash Reconciliation_2A,B,C,D'!$A$7:$A$55,0))),"")</f>
        <v/>
      </c>
      <c r="F33" s="1282">
        <f>IFERROR(INDEX('PR Cash Reconciliation_2A,B,C,D'!$F$7:$F$55,MATCH(A33,'PR Cash Reconciliation_2A,B,C,D'!$A$7:$A$55,0)),"")</f>
        <v>0</v>
      </c>
      <c r="G33" s="1282">
        <f>IFERROR(INDEX('PR Cash Reconciliation_2A,B,C,D'!$G$7:$G$55,MATCH(A33,'PR Cash Reconciliation_2A,B,C,D'!$A$7:$A$55,0)),"")</f>
        <v>0</v>
      </c>
      <c r="H33" s="1188" t="str">
        <f>IFERROR(IF(INDEX('PR Cash Reconciliation_2A,B,C,D'!$I$7:$I$55,MATCH(A33,'PR Cash Reconciliation_2A,B,C,D'!$A$7:$A$55,0))=0,"",INDEX('PR Cash Reconciliation_2A,B,C,D'!$I$7:$I$55,MATCH(A33,'PR Cash Reconciliation_2A,B,C,D'!$A$7:$A$55,0))),"")</f>
        <v/>
      </c>
    </row>
    <row r="34" spans="1:8" x14ac:dyDescent="0.2">
      <c r="A34" s="1188" t="s">
        <v>478</v>
      </c>
      <c r="B34" s="1187" t="s">
        <v>1122</v>
      </c>
      <c r="C34" s="1282">
        <f>IFERROR(INDEX('PR Cash Reconciliation_2A,B,C,D'!$C$7:$C$55,MATCH(A34,'PR Cash Reconciliation_2A,B,C,D'!$A$7:$A$55,0)),"")</f>
        <v>0</v>
      </c>
      <c r="D34" s="1282">
        <f>IFERROR(INDEX('PR Cash Reconciliation_2A,B,C,D'!$D$7:$D$55,MATCH(A34,'PR Cash Reconciliation_2A,B,C,D'!$A$7:$A$55,0)),"")</f>
        <v>0</v>
      </c>
      <c r="E34" s="1188" t="str">
        <f>IFERROR(IF(INDEX('PR Cash Reconciliation_2A,B,C,D'!$E$7:$E$55,MATCH(A34,'PR Cash Reconciliation_2A,B,C,D'!$A$7:$A$55,0))=0,"",INDEX('PR Cash Reconciliation_2A,B,C,D'!$E$7:$E$55,MATCH(A34,'PR Cash Reconciliation_2A,B,C,D'!$A$7:$A$55,0))),"")</f>
        <v/>
      </c>
      <c r="F34" s="1282">
        <f>IFERROR(INDEX('PR Cash Reconciliation_2A,B,C,D'!$F$7:$F$55,MATCH(A34,'PR Cash Reconciliation_2A,B,C,D'!$A$7:$A$55,0)),"")</f>
        <v>0</v>
      </c>
      <c r="G34" s="1282">
        <f>IFERROR(INDEX('PR Cash Reconciliation_2A,B,C,D'!$G$7:$G$55,MATCH(A34,'PR Cash Reconciliation_2A,B,C,D'!$A$7:$A$55,0)),"")</f>
        <v>0</v>
      </c>
      <c r="H34" s="1188" t="str">
        <f>IFERROR(IF(INDEX('PR Cash Reconciliation_2A,B,C,D'!$I$7:$I$55,MATCH(A34,'PR Cash Reconciliation_2A,B,C,D'!$A$7:$A$55,0))=0,"",INDEX('PR Cash Reconciliation_2A,B,C,D'!$I$7:$I$55,MATCH(A34,'PR Cash Reconciliation_2A,B,C,D'!$A$7:$A$55,0))),"")</f>
        <v/>
      </c>
    </row>
    <row r="35" spans="1:8" x14ac:dyDescent="0.2">
      <c r="A35" s="1188" t="s">
        <v>479</v>
      </c>
      <c r="B35" s="1187" t="s">
        <v>1123</v>
      </c>
      <c r="C35" s="1282">
        <f>IFERROR(INDEX('PR Cash Reconciliation_2A,B,C,D'!$C$7:$C$55,MATCH(A35,'PR Cash Reconciliation_2A,B,C,D'!$A$7:$A$55,0)),"")</f>
        <v>0</v>
      </c>
      <c r="D35" s="1282">
        <f>IFERROR(INDEX('PR Cash Reconciliation_2A,B,C,D'!$D$7:$D$55,MATCH(A35,'PR Cash Reconciliation_2A,B,C,D'!$A$7:$A$55,0)),"")</f>
        <v>0</v>
      </c>
      <c r="E35" s="1188" t="str">
        <f>IFERROR(IF(INDEX('PR Cash Reconciliation_2A,B,C,D'!$E$7:$E$55,MATCH(A35,'PR Cash Reconciliation_2A,B,C,D'!$A$7:$A$55,0))=0,"",INDEX('PR Cash Reconciliation_2A,B,C,D'!$E$7:$E$55,MATCH(A35,'PR Cash Reconciliation_2A,B,C,D'!$A$7:$A$55,0))),"")</f>
        <v/>
      </c>
      <c r="F35" s="1282">
        <f>IFERROR(INDEX('PR Cash Reconciliation_2A,B,C,D'!$F$7:$F$55,MATCH(A35,'PR Cash Reconciliation_2A,B,C,D'!$A$7:$A$55,0)),"")</f>
        <v>0</v>
      </c>
      <c r="G35" s="1282">
        <f>IFERROR(INDEX('PR Cash Reconciliation_2A,B,C,D'!$G$7:$G$55,MATCH(A35,'PR Cash Reconciliation_2A,B,C,D'!$A$7:$A$55,0)),"")</f>
        <v>0</v>
      </c>
      <c r="H35" s="1188" t="str">
        <f>IFERROR(IF(INDEX('PR Cash Reconciliation_2A,B,C,D'!$I$7:$I$55,MATCH(A35,'PR Cash Reconciliation_2A,B,C,D'!$A$7:$A$55,0))=0,"",INDEX('PR Cash Reconciliation_2A,B,C,D'!$I$7:$I$55,MATCH(A35,'PR Cash Reconciliation_2A,B,C,D'!$A$7:$A$55,0))),"")</f>
        <v/>
      </c>
    </row>
    <row r="36" spans="1:8" x14ac:dyDescent="0.2">
      <c r="A36" s="1188" t="s">
        <v>480</v>
      </c>
      <c r="B36" s="1187" t="s">
        <v>1124</v>
      </c>
      <c r="C36" s="1282">
        <f>IFERROR(INDEX('PR Cash Reconciliation_2A,B,C,D'!$C$7:$C$55,MATCH(A36,'PR Cash Reconciliation_2A,B,C,D'!$A$7:$A$55,0)),"")</f>
        <v>0</v>
      </c>
      <c r="D36" s="1282">
        <f>IFERROR(INDEX('PR Cash Reconciliation_2A,B,C,D'!$D$7:$D$55,MATCH(A36,'PR Cash Reconciliation_2A,B,C,D'!$A$7:$A$55,0)),"")</f>
        <v>0</v>
      </c>
      <c r="E36" s="1188" t="str">
        <f>IFERROR(IF(INDEX('PR Cash Reconciliation_2A,B,C,D'!$E$7:$E$55,MATCH(A36,'PR Cash Reconciliation_2A,B,C,D'!$A$7:$A$55,0))=0,"",INDEX('PR Cash Reconciliation_2A,B,C,D'!$E$7:$E$55,MATCH(A36,'PR Cash Reconciliation_2A,B,C,D'!$A$7:$A$55,0))),"")</f>
        <v/>
      </c>
      <c r="F36" s="1282">
        <f>IFERROR(INDEX('PR Cash Reconciliation_2A,B,C,D'!$F$7:$F$55,MATCH(A36,'PR Cash Reconciliation_2A,B,C,D'!$A$7:$A$55,0)),"")</f>
        <v>0</v>
      </c>
      <c r="G36" s="1282">
        <f>IFERROR(INDEX('PR Cash Reconciliation_2A,B,C,D'!$G$7:$G$55,MATCH(A36,'PR Cash Reconciliation_2A,B,C,D'!$A$7:$A$55,0)),"")</f>
        <v>0</v>
      </c>
      <c r="H36" s="1188" t="str">
        <f>IFERROR(IF(INDEX('PR Cash Reconciliation_2A,B,C,D'!$I$7:$I$55,MATCH(A36,'PR Cash Reconciliation_2A,B,C,D'!$A$7:$A$55,0))=0,"",INDEX('PR Cash Reconciliation_2A,B,C,D'!$I$7:$I$55,MATCH(A36,'PR Cash Reconciliation_2A,B,C,D'!$A$7:$A$55,0))),"")</f>
        <v/>
      </c>
    </row>
    <row r="37" spans="1:8" x14ac:dyDescent="0.2">
      <c r="A37" s="1188" t="s">
        <v>1125</v>
      </c>
      <c r="B37" s="1187" t="s">
        <v>1126</v>
      </c>
      <c r="C37" s="1282" t="str">
        <f>IFERROR(INDEX('PR Cash Reconciliation_2A,B,C,D'!$C$7:$C$55,MATCH(A37,'PR Cash Reconciliation_2A,B,C,D'!$A$7:$A$55,0)),"")</f>
        <v/>
      </c>
      <c r="D37" s="1282" t="str">
        <f>IFERROR(INDEX('PR Cash Reconciliation_2A,B,C,D'!$D$7:$D$55,MATCH(A37,'PR Cash Reconciliation_2A,B,C,D'!$A$7:$A$55,0)),"")</f>
        <v/>
      </c>
      <c r="E37" s="1188" t="str">
        <f>IFERROR(IF(INDEX('PR Cash Reconciliation_2A,B,C,D'!$E$7:$E$55,MATCH(A37,'PR Cash Reconciliation_2A,B,C,D'!$A$7:$A$55,0))=0,"",INDEX('PR Cash Reconciliation_2A,B,C,D'!$E$7:$E$55,MATCH(A37,'PR Cash Reconciliation_2A,B,C,D'!$A$7:$A$55,0))),"")</f>
        <v/>
      </c>
      <c r="F37" s="1282" t="str">
        <f>IFERROR(INDEX('PR Cash Reconciliation_2A,B,C,D'!$F$7:$F$55,MATCH(A37,'PR Cash Reconciliation_2A,B,C,D'!$A$7:$A$55,0)),"")</f>
        <v/>
      </c>
      <c r="G37" s="1282" t="str">
        <f>IFERROR(INDEX('PR Cash Reconciliation_2A,B,C,D'!$G$7:$G$55,MATCH(A37,'PR Cash Reconciliation_2A,B,C,D'!$A$7:$A$55,0)),"")</f>
        <v/>
      </c>
      <c r="H37" s="1188" t="str">
        <f>IFERROR(IF(INDEX('PR Cash Reconciliation_2A,B,C,D'!$I$7:$I$55,MATCH(A37,'PR Cash Reconciliation_2A,B,C,D'!$A$7:$A$55,0))=0,"",INDEX('PR Cash Reconciliation_2A,B,C,D'!$I$7:$I$55,MATCH(A37,'PR Cash Reconciliation_2A,B,C,D'!$A$7:$A$55,0))),"")</f>
        <v/>
      </c>
    </row>
    <row r="38" spans="1:8" x14ac:dyDescent="0.2">
      <c r="A38" s="1188" t="s">
        <v>1127</v>
      </c>
      <c r="B38" s="1187" t="s">
        <v>1128</v>
      </c>
      <c r="C38" s="1282" t="str">
        <f>IFERROR(INDEX('PR Cash Reconciliation_2A,B,C,D'!$C$7:$C$55,MATCH(A38,'PR Cash Reconciliation_2A,B,C,D'!$A$7:$A$55,0)),"")</f>
        <v/>
      </c>
      <c r="D38" s="1282" t="str">
        <f>IFERROR(INDEX('PR Cash Reconciliation_2A,B,C,D'!$D$7:$D$55,MATCH(A38,'PR Cash Reconciliation_2A,B,C,D'!$A$7:$A$55,0)),"")</f>
        <v/>
      </c>
      <c r="E38" s="1188" t="str">
        <f>IFERROR(IF(INDEX('PR Cash Reconciliation_2A,B,C,D'!$E$7:$E$55,MATCH(A38,'PR Cash Reconciliation_2A,B,C,D'!$A$7:$A$55,0))=0,"",INDEX('PR Cash Reconciliation_2A,B,C,D'!$E$7:$E$55,MATCH(A38,'PR Cash Reconciliation_2A,B,C,D'!$A$7:$A$55,0))),"")</f>
        <v/>
      </c>
      <c r="F38" s="1282" t="str">
        <f>IFERROR(INDEX('PR Cash Reconciliation_2A,B,C,D'!$F$7:$F$55,MATCH(A38,'PR Cash Reconciliation_2A,B,C,D'!$A$7:$A$55,0)),"")</f>
        <v/>
      </c>
      <c r="G38" s="1282" t="str">
        <f>IFERROR(INDEX('PR Cash Reconciliation_2A,B,C,D'!$G$7:$G$55,MATCH(A38,'PR Cash Reconciliation_2A,B,C,D'!$A$7:$A$55,0)),"")</f>
        <v/>
      </c>
      <c r="H38" s="1188" t="str">
        <f>IFERROR(IF(INDEX('PR Cash Reconciliation_2A,B,C,D'!$I$7:$I$55,MATCH(A38,'PR Cash Reconciliation_2A,B,C,D'!$A$7:$A$55,0))=0,"",INDEX('PR Cash Reconciliation_2A,B,C,D'!$I$7:$I$55,MATCH(A38,'PR Cash Reconciliation_2A,B,C,D'!$A$7:$A$55,0))),"")</f>
        <v/>
      </c>
    </row>
    <row r="39" spans="1:8" x14ac:dyDescent="0.2">
      <c r="A39" s="1188" t="s">
        <v>1129</v>
      </c>
      <c r="B39" s="1187" t="s">
        <v>1130</v>
      </c>
      <c r="C39" s="1282" t="str">
        <f>IFERROR(INDEX('PR Cash Reconciliation_2A,B,C,D'!$C$7:$C$55,MATCH(A39,'PR Cash Reconciliation_2A,B,C,D'!$A$7:$A$55,0)),"")</f>
        <v/>
      </c>
      <c r="D39" s="1282" t="str">
        <f>IFERROR(INDEX('PR Cash Reconciliation_2A,B,C,D'!$D$7:$D$55,MATCH(A39,'PR Cash Reconciliation_2A,B,C,D'!$A$7:$A$55,0)),"")</f>
        <v/>
      </c>
      <c r="E39" s="1188" t="str">
        <f>IFERROR(IF(INDEX('PR Cash Reconciliation_2A,B,C,D'!$E$7:$E$55,MATCH(A39,'PR Cash Reconciliation_2A,B,C,D'!$A$7:$A$55,0))=0,"",INDEX('PR Cash Reconciliation_2A,B,C,D'!$E$7:$E$55,MATCH(A39,'PR Cash Reconciliation_2A,B,C,D'!$A$7:$A$55,0))),"")</f>
        <v/>
      </c>
      <c r="F39" s="1282" t="str">
        <f>IFERROR(INDEX('PR Cash Reconciliation_2A,B,C,D'!$F$7:$F$55,MATCH(A39,'PR Cash Reconciliation_2A,B,C,D'!$A$7:$A$55,0)),"")</f>
        <v/>
      </c>
      <c r="G39" s="1282" t="str">
        <f>IFERROR(INDEX('PR Cash Reconciliation_2A,B,C,D'!$G$7:$G$55,MATCH(A39,'PR Cash Reconciliation_2A,B,C,D'!$A$7:$A$55,0)),"")</f>
        <v/>
      </c>
      <c r="H39" s="1188" t="str">
        <f>IFERROR(IF(INDEX('PR Cash Reconciliation_2A,B,C,D'!$I$7:$I$55,MATCH(A39,'PR Cash Reconciliation_2A,B,C,D'!$A$7:$A$55,0))=0,"",INDEX('PR Cash Reconciliation_2A,B,C,D'!$I$7:$I$55,MATCH(A39,'PR Cash Reconciliation_2A,B,C,D'!$A$7:$A$55,0))),"")</f>
        <v/>
      </c>
    </row>
    <row r="40" spans="1:8" x14ac:dyDescent="0.2">
      <c r="A40" s="1188" t="s">
        <v>1131</v>
      </c>
      <c r="B40" s="1187" t="s">
        <v>1132</v>
      </c>
      <c r="C40" s="1282" t="str">
        <f>IFERROR(INDEX('PR Cash Reconciliation_2A,B,C,D'!$C$7:$C$55,MATCH(A40,'PR Cash Reconciliation_2A,B,C,D'!$A$7:$A$55,0)),"")</f>
        <v/>
      </c>
      <c r="D40" s="1282" t="str">
        <f>IFERROR(INDEX('PR Cash Reconciliation_2A,B,C,D'!$D$7:$D$55,MATCH(A40,'PR Cash Reconciliation_2A,B,C,D'!$A$7:$A$55,0)),"")</f>
        <v/>
      </c>
      <c r="E40" s="1188" t="str">
        <f>IFERROR(IF(INDEX('PR Cash Reconciliation_2A,B,C,D'!$E$7:$E$55,MATCH(A40,'PR Cash Reconciliation_2A,B,C,D'!$A$7:$A$55,0))=0,"",INDEX('PR Cash Reconciliation_2A,B,C,D'!$E$7:$E$55,MATCH(A40,'PR Cash Reconciliation_2A,B,C,D'!$A$7:$A$55,0))),"")</f>
        <v/>
      </c>
      <c r="F40" s="1282" t="str">
        <f>IFERROR(INDEX('PR Cash Reconciliation_2A,B,C,D'!$F$7:$F$55,MATCH(A40,'PR Cash Reconciliation_2A,B,C,D'!$A$7:$A$55,0)),"")</f>
        <v/>
      </c>
      <c r="G40" s="1282" t="str">
        <f>IFERROR(INDEX('PR Cash Reconciliation_2A,B,C,D'!$G$7:$G$55,MATCH(A40,'PR Cash Reconciliation_2A,B,C,D'!$A$7:$A$55,0)),"")</f>
        <v/>
      </c>
      <c r="H40" s="1188" t="str">
        <f>IFERROR(IF(INDEX('PR Cash Reconciliation_2A,B,C,D'!$I$7:$I$55,MATCH(A40,'PR Cash Reconciliation_2A,B,C,D'!$A$7:$A$55,0))=0,"",INDEX('PR Cash Reconciliation_2A,B,C,D'!$I$7:$I$55,MATCH(A40,'PR Cash Reconciliation_2A,B,C,D'!$A$7:$A$55,0))),"")</f>
        <v/>
      </c>
    </row>
  </sheetData>
  <dataValidations count="5">
    <dataValidation type="custom" allowBlank="1" showInputMessage="1" showErrorMessage="1" errorTitle="X-Author for Excel" error="Id and Lookup fields are not editable." promptTitle="X-Author for Excel" sqref="B4:B40">
      <formula1>""</formula1>
    </dataValidation>
    <dataValidation type="decimal" allowBlank="1" showInputMessage="1" showErrorMessage="1" errorTitle="X-Author for Excel" error="Please enter a valid numeric value. Valid range for PR Cumulative is -9999999999.99 to 9999999999.99." promptTitle="X-Author for Excel" sqref="C4:C40">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D4:D40">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F4:F40">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G4:G40">
      <formula1>-9999999999.99</formula1>
      <formula2>9999999999.99</formula2>
    </dataValidation>
  </dataValidations>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c097f1e6-5941-48e7-ac45-8c5509127d4f" ContentTypeId="0x01010060AF44C4CE004F90858730CECCCDDE18" PreviousValue="false"/>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Working Excel" ma:contentTypeID="0x01010060AF44C4CE004F90858730CECCCDDE18004D250A5139136E4EB6C28921B539BB2E" ma:contentTypeVersion="1" ma:contentTypeDescription="An Excel spreadsheet." ma:contentTypeScope="" ma:versionID="d26ab6b31b77a1906ad702f75e064153">
  <xsd:schema xmlns:xsd="http://www.w3.org/2001/XMLSchema" xmlns:xs="http://www.w3.org/2001/XMLSchema" xmlns:p="http://schemas.microsoft.com/office/2006/metadata/properties" targetNamespace="http://schemas.microsoft.com/office/2006/metadata/properties" ma:root="true" ma:fieldsID="b3cacb2f47b03da04125327011e2d01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9E4A74-1816-4915-92A8-E60341EC2287}">
  <ds:schemaRefs>
    <ds:schemaRef ds:uri="Microsoft.SharePoint.Taxonomy.ContentTypeSync"/>
  </ds:schemaRefs>
</ds:datastoreItem>
</file>

<file path=customXml/itemProps2.xml><?xml version="1.0" encoding="utf-8"?>
<ds:datastoreItem xmlns:ds="http://schemas.openxmlformats.org/officeDocument/2006/customXml" ds:itemID="{B441D00B-91A5-42E7-8707-A59700590D93}">
  <ds:schemaRefs>
    <ds:schemaRef ds:uri="http://schemas.openxmlformats.org/package/2006/metadata/core-properties"/>
    <ds:schemaRef ds:uri="http://schemas.microsoft.com/office/2006/documentManagement/types"/>
    <ds:schemaRef ds:uri="http://purl.org/dc/elements/1.1/"/>
    <ds:schemaRef ds:uri="http://www.w3.org/XML/1998/namespace"/>
    <ds:schemaRef ds:uri="http://schemas.microsoft.com/office/infopath/2007/PartnerControls"/>
    <ds:schemaRef ds:uri="http://purl.org/dc/terms/"/>
    <ds:schemaRef ds:uri="http://purl.org/dc/dcmitype/"/>
    <ds:schemaRef ds:uri="http://schemas.microsoft.com/office/2006/metadata/properties"/>
  </ds:schemaRefs>
</ds:datastoreItem>
</file>

<file path=customXml/itemProps3.xml><?xml version="1.0" encoding="utf-8"?>
<ds:datastoreItem xmlns:ds="http://schemas.openxmlformats.org/officeDocument/2006/customXml" ds:itemID="{B49F897B-7EBC-4077-9671-C4A3702CAC8C}">
  <ds:schemaRefs>
    <ds:schemaRef ds:uri="http://schemas.microsoft.com/sharepoint/v3/contenttype/forms"/>
  </ds:schemaRefs>
</ds:datastoreItem>
</file>

<file path=customXml/itemProps4.xml><?xml version="1.0" encoding="utf-8"?>
<ds:datastoreItem xmlns:ds="http://schemas.openxmlformats.org/officeDocument/2006/customXml" ds:itemID="{3C447CA8-54EC-4C45-85B1-E551A43BEE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561</vt:i4>
      </vt:variant>
    </vt:vector>
  </HeadingPairs>
  <TitlesOfParts>
    <vt:vector size="582" baseType="lpstr">
      <vt:lpstr>CoverSheet</vt:lpstr>
      <vt:lpstr>Impact Outcome Indicators_1A</vt:lpstr>
      <vt:lpstr>Disaggregation_1A</vt:lpstr>
      <vt:lpstr>Coverage Indicators_1B</vt:lpstr>
      <vt:lpstr>Disaggregation_1B</vt:lpstr>
      <vt:lpstr>WPTM_1C</vt:lpstr>
      <vt:lpstr>PR Cash Reconciliation_2A,B,C,D</vt:lpstr>
      <vt:lpstr>SR_Cash Reconciliation_2E</vt:lpstr>
      <vt:lpstr>Budget Variance_2F</vt:lpstr>
      <vt:lpstr>Procurement_3</vt:lpstr>
      <vt:lpstr>Grant Management_4</vt:lpstr>
      <vt:lpstr>PR-LFA Evaluation_5</vt:lpstr>
      <vt:lpstr>LFA_Findings&amp;Recommendations_6</vt:lpstr>
      <vt:lpstr>PR Expenditure_7A</vt:lpstr>
      <vt:lpstr>LFA Expenditure_7B</vt:lpstr>
      <vt:lpstr>Cash Forecast_8A</vt:lpstr>
      <vt:lpstr>Request and Recommendation_8B</vt:lpstr>
      <vt:lpstr>Commitments_Obligations</vt:lpstr>
      <vt:lpstr>PR Authorization_9A</vt:lpstr>
      <vt:lpstr>LFA Authorization_9B</vt:lpstr>
      <vt:lpstr>Financial Triggers_10</vt:lpstr>
      <vt:lpstr>_00393c6c_8d57_4177_9317_ad9777da6999</vt:lpstr>
      <vt:lpstr>_00ae92c5_c2d0_4ad2_876a_2b822f6cec23</vt:lpstr>
      <vt:lpstr>_00de7129_653b_4d69_830e_62f54dcfdb6c</vt:lpstr>
      <vt:lpstr>_013db90e_ff79_4e6d_a227_f1c5bfe2a8b2</vt:lpstr>
      <vt:lpstr>_020865d7_3c80_401c_b694_aef5cdf00cd1</vt:lpstr>
      <vt:lpstr>_042ce654_06c1_4167_a1e9_24169119e306</vt:lpstr>
      <vt:lpstr>_043e01fb_d017_40fb_88c5_3cfca2389a53</vt:lpstr>
      <vt:lpstr>_044b8821_e976_4be1_bf97_3243e6d2ae0e</vt:lpstr>
      <vt:lpstr>_04b2d560_412e_44de_ab55_9706d2370303</vt:lpstr>
      <vt:lpstr>_04c7f0c7_5556_4402_b3b7_baad02ff9c4b</vt:lpstr>
      <vt:lpstr>_052ec340_bf50_463c_99c1_853005770742</vt:lpstr>
      <vt:lpstr>_054f41e6_8a63_40d9_885d_633d6aba7e4b</vt:lpstr>
      <vt:lpstr>_055e1bed_26f5_4cad_bd36_a1ca2cd3a397</vt:lpstr>
      <vt:lpstr>_06ccafbb_536a_4251_90da_2c3a122a8ebd</vt:lpstr>
      <vt:lpstr>_073a3630_5d07_4123_818b_c78d2e57b54a</vt:lpstr>
      <vt:lpstr>_086d13e1_625e_4efb_85a0_69eeb3621f80</vt:lpstr>
      <vt:lpstr>_08fcfab9_6347_4f75_809d_0d5647b70b40</vt:lpstr>
      <vt:lpstr>_0943cb66_cbcd_4032_a004_abb78319ecbc</vt:lpstr>
      <vt:lpstr>_09a04d0e_a748_45bc_b123_289a1e7a9beb</vt:lpstr>
      <vt:lpstr>_0ac98eeb_96d2_4aa2_a766_803ab333aa38</vt:lpstr>
      <vt:lpstr>_0b143747_ef81_457c_9a6f_63232248d20f</vt:lpstr>
      <vt:lpstr>_0c34a225_b77a_4604_b753_5c322c38cfcc</vt:lpstr>
      <vt:lpstr>_0cd2b372_5397_4af7_8d5f_a0ad0b01942a</vt:lpstr>
      <vt:lpstr>_0e14162e_da6c_4526_83e0_a59265e5e7b7</vt:lpstr>
      <vt:lpstr>_0e36b323_79a7_4d8a_a902_2d6b800ee4d1</vt:lpstr>
      <vt:lpstr>_0f11e686_8b9d_428a_b5cf_e1469f97e018</vt:lpstr>
      <vt:lpstr>_0f4ae046_3d1e_4f53_bcd7_a375cb1b4810</vt:lpstr>
      <vt:lpstr>_0fe31f80_3bc5_4c17_9052_e1bffd2f705f</vt:lpstr>
      <vt:lpstr>_100ce52b_b666_4927_b750_4db18c820a29</vt:lpstr>
      <vt:lpstr>_10568f43_0617_4779_b005_c2110ef5d5eb</vt:lpstr>
      <vt:lpstr>_10e60d28_5830_4c8c_af9f_409fd1e77b22</vt:lpstr>
      <vt:lpstr>_10ede691_a7c5_40be_8a7a_1041515faf68</vt:lpstr>
      <vt:lpstr>_113bb73b_de08_469f_94a3_c7a433de3c91</vt:lpstr>
      <vt:lpstr>_119930c0_01ed_47e4_9c9f_42ad97c29583</vt:lpstr>
      <vt:lpstr>_130918f5_3863_4e1b_8039_96bc99cbfe64</vt:lpstr>
      <vt:lpstr>_1387ba05_1187_4e84_ac8a_8124d7cd2fd4</vt:lpstr>
      <vt:lpstr>_13dfa275_bbd0_40ad_a148_564b28bd98bf</vt:lpstr>
      <vt:lpstr>_1459108f_5271_4954_8daa_c1a161f6dacd</vt:lpstr>
      <vt:lpstr>_145a5628_580b_411d_98dd_5082ce47803f</vt:lpstr>
      <vt:lpstr>_14c42e70_d543_4438_b61a_7994442d4714</vt:lpstr>
      <vt:lpstr>_14f93dd7_4613_4b36_b70e_8b96edb69f9b</vt:lpstr>
      <vt:lpstr>_15d274d4_ab1e_4943_8157_30def03903f9</vt:lpstr>
      <vt:lpstr>_16ad6929_383e_4f1f_8987_192f281b29ab</vt:lpstr>
      <vt:lpstr>_16dcd257_a9f9_4e76_a66a_28db3694a9ff</vt:lpstr>
      <vt:lpstr>_1701acac_9651_4cbd_b961_8ee16c43c8fe</vt:lpstr>
      <vt:lpstr>_18802850_5b2b_4dab_b1c0_3548e784628d</vt:lpstr>
      <vt:lpstr>_1892798a_6092_4051_a14a_ce7e187d1059</vt:lpstr>
      <vt:lpstr>_1920be43_b5da_40bb_b266_1424bf262d00</vt:lpstr>
      <vt:lpstr>_196c782f_031e_436a_becc_d259bfe31210</vt:lpstr>
      <vt:lpstr>_19996227_bed9_4e7c_a847_63d89f91baaf</vt:lpstr>
      <vt:lpstr>_1a160a3f_f2b7_4676_a745_516ddc5a5da2</vt:lpstr>
      <vt:lpstr>_1a96baa2_f019_4b63_8d20_f154cf151bd6</vt:lpstr>
      <vt:lpstr>_1afae577_735f_4f21_ab13_e88a8cab8b8b</vt:lpstr>
      <vt:lpstr>_1bbcf195_5a32_4af0_8d08_943045d0223f</vt:lpstr>
      <vt:lpstr>_1bc20586_67b1_4c42_a17c_fc26f13a0240</vt:lpstr>
      <vt:lpstr>_1bd6c036_2829_4952_b68b_fa55884f1760</vt:lpstr>
      <vt:lpstr>_1bea1016_359f_41a7_8284_13cff42b3c6f</vt:lpstr>
      <vt:lpstr>_1befe063_b14c_4d4e_a4f0_c6c920429848</vt:lpstr>
      <vt:lpstr>_1cc8734c_54b1_4979_9b67_97078798e67f</vt:lpstr>
      <vt:lpstr>_1d280c19_5e23_4237_869a_5758b70b3417</vt:lpstr>
      <vt:lpstr>_1eade3bb_934c_4a06_b39b_22f8cd7db62e</vt:lpstr>
      <vt:lpstr>_1eaeb8c9_bb38_4a21_8744_4002b059dc7f</vt:lpstr>
      <vt:lpstr>_1ecfe9a3_e986_4fb6_a597_f87f5693a738</vt:lpstr>
      <vt:lpstr>_20983c61_c284_48d8_b87e_a9ac4854a3a4</vt:lpstr>
      <vt:lpstr>_2169bd94_e0fa_4d2a_8a98_4137526dafab</vt:lpstr>
      <vt:lpstr>_219fcf23_38c5_480b_92c2_55d84a3b972d</vt:lpstr>
      <vt:lpstr>_219ff17b_a9b9_4b3b_ad49_d9a27ad0d864</vt:lpstr>
      <vt:lpstr>_21a32645_bee5_4d79_ad0d_7ff57467cefb</vt:lpstr>
      <vt:lpstr>_21c46a8d_93da_46e0_a7a2_8fe24ceb4d39</vt:lpstr>
      <vt:lpstr>_2231cb92_7d38_49e4_9816_c1eed6bcae87</vt:lpstr>
      <vt:lpstr>_223bc551_7f38_45a4_a202_f4990a2ef7e6</vt:lpstr>
      <vt:lpstr>_225eb437_fd98_478e_acdb_e6decb5b26c0</vt:lpstr>
      <vt:lpstr>_22c84952_9caa_4452_a64a_c3af8c6876dc</vt:lpstr>
      <vt:lpstr>_2315f23c_93dc_4ce7_9c63_454e1f56dd1d</vt:lpstr>
      <vt:lpstr>_233637c6_24f9_45a5_af86_5a3487e51cc7</vt:lpstr>
      <vt:lpstr>_25911028_0f67_4723_8659_b5c924ca6e8a</vt:lpstr>
      <vt:lpstr>_25a3cd0b_6866_4ce2_bf22_b61872a77555</vt:lpstr>
      <vt:lpstr>_26f87514_931a_4d7a_af3c_a4a66c9f1e7b</vt:lpstr>
      <vt:lpstr>_27f4b9fe_7570_46d7_b168_a609c0229fa7</vt:lpstr>
      <vt:lpstr>_28629c3c_6465_4c01_aeec_8c404d525a96</vt:lpstr>
      <vt:lpstr>_28da5a53_81c6_4abc_977d_1a60698aee05</vt:lpstr>
      <vt:lpstr>_28db3868_fae6_469a_a1e9_a72c39a3a421</vt:lpstr>
      <vt:lpstr>_28f05f2c_a8e7_486c_a624_df3ab63f462e</vt:lpstr>
      <vt:lpstr>_292c06c9_ce35_492d_acd2_a7b81b0ac17e</vt:lpstr>
      <vt:lpstr>_2947641e_f93c_4d9b_b06c_5ccc98456ed8</vt:lpstr>
      <vt:lpstr>_2a830e2d_048e_4d7d_b5e8_9bf8e001d74e</vt:lpstr>
      <vt:lpstr>_2a8c7da7_7999_4023_9ca3_98d208e1a5c1</vt:lpstr>
      <vt:lpstr>_2bc6933d_04d2_4383_87a2_28ea612052e0</vt:lpstr>
      <vt:lpstr>_2d180e5b_a8dc_4d88_ac6d_ea7f6a4ddc2e</vt:lpstr>
      <vt:lpstr>_2d4ea633_1065_472f_9f03_05290b260d4b</vt:lpstr>
      <vt:lpstr>_2daa7e64_d40c_4d4a_975a_1f8d56f905d8</vt:lpstr>
      <vt:lpstr>_2de1d6dc_5d51_45ba_a57e_94fb61db207e</vt:lpstr>
      <vt:lpstr>_2e5e9857_4e10_4a56_973a_e59f4cde4437</vt:lpstr>
      <vt:lpstr>_2ef7ad1b_f502_4237_84e2_742814fefb9b</vt:lpstr>
      <vt:lpstr>_2f01cb3a_bd35_43f6_8a56_6c9ff15320bf</vt:lpstr>
      <vt:lpstr>_2fa6b032_e3aa_4261_b4fa_b1d1cb907517</vt:lpstr>
      <vt:lpstr>_30343b5b_c92d_4aa4_8ada_996a46d79bd8</vt:lpstr>
      <vt:lpstr>_308f36ed_3ec3_4b5e_a7ef_068e9efcfbfa</vt:lpstr>
      <vt:lpstr>_30fc9f06_7286_4af3_98b9_86ab7a47b10c</vt:lpstr>
      <vt:lpstr>_314909c1_7186_48e4_ba7c_6411a723e39e</vt:lpstr>
      <vt:lpstr>_321bdd85_502b_4183_bd1b_084e665c8158</vt:lpstr>
      <vt:lpstr>_321ef185_1761_46fd_b52e_0d229344eff4</vt:lpstr>
      <vt:lpstr>_32df6307_1ed0_420d_b88e_8dc735aeddd8</vt:lpstr>
      <vt:lpstr>_338b2845_6b5a_4d06_8aa4_bd4b04efa20c</vt:lpstr>
      <vt:lpstr>_33b8ce3b_2fd9_4b5f_bfcc_332f0c1fcdb5</vt:lpstr>
      <vt:lpstr>_33bfa495_fb7f_4857_83af_00e73a2bffff</vt:lpstr>
      <vt:lpstr>_33ec85e3_1d82_4661_af0c_de69c28064eb</vt:lpstr>
      <vt:lpstr>_34964a85_c5c7_49d6_b3c8_e09a85ac566c</vt:lpstr>
      <vt:lpstr>_34e80041_da16_4c7b_9e6e_de290a63a392</vt:lpstr>
      <vt:lpstr>_35f4702c_4bdb_49e0_afbd_86118ef8c3d4</vt:lpstr>
      <vt:lpstr>_36ca5e67_0a0c_4eec_ab76_2cb16c50db12</vt:lpstr>
      <vt:lpstr>_377e3cfe_4a94_4eeb_b5ff_dcfbf98c515c</vt:lpstr>
      <vt:lpstr>_377f46e6_f164_47aa_9586_9c66d127899d</vt:lpstr>
      <vt:lpstr>_37b06c3e_105e_4ca8_9415_8855f3bd5b22</vt:lpstr>
      <vt:lpstr>_37db1711_8738_45c6_9643_fb2871345063</vt:lpstr>
      <vt:lpstr>_3832589c_f9a7_4728_859c_d0417e3813dd</vt:lpstr>
      <vt:lpstr>_38d4a099_225a_4e24_9631_69f5e85de29b</vt:lpstr>
      <vt:lpstr>_396236b7_966e_4eb5_9f97_3c01d7538a3b</vt:lpstr>
      <vt:lpstr>_3a02ad2c_e6f6_4e6f_85e1_6ef9075011f3</vt:lpstr>
      <vt:lpstr>_3a76683f_d345_4c95_8282_5b5e21a22770</vt:lpstr>
      <vt:lpstr>_3aacb349_ecc9_4ae9_85b0_6066ef0bf52b</vt:lpstr>
      <vt:lpstr>_3ab3330c_cb0d_4fba_b19d_52bee4318bf8</vt:lpstr>
      <vt:lpstr>_3ad88ce5_1461_486f_ae0c_11869eafb3ce</vt:lpstr>
      <vt:lpstr>_3bf0c535_5ae3_4343_8684_0584859ef683</vt:lpstr>
      <vt:lpstr>_3c170bbf_05f9_4840_a645_d1b1e8cb4cf5</vt:lpstr>
      <vt:lpstr>_3caeb6c9_b0ca_41eb_a277_7ac32c045355</vt:lpstr>
      <vt:lpstr>_3ccd8da5_d802_43be_bf96_8cd3e3e2ea6d</vt:lpstr>
      <vt:lpstr>_3d3793be_1e63_4bdf_9b9e_39ce0b9e6cac</vt:lpstr>
      <vt:lpstr>_3e00c257_4141_4ab7_8332_40515322c73c</vt:lpstr>
      <vt:lpstr>_3e93aceb_0d50_4f6c_adf1_1b622b57f819</vt:lpstr>
      <vt:lpstr>_3ec0413f_896f_4c71_bf51_f8232da5a7f1</vt:lpstr>
      <vt:lpstr>_3f193f7e_7899_40e4_8d74_00739199c1aa</vt:lpstr>
      <vt:lpstr>_407abfb8_1ae8_49c0_aa37_e10f8d81755a</vt:lpstr>
      <vt:lpstr>_408bf7b7_ceb6_431f_b2bb_b34238526016</vt:lpstr>
      <vt:lpstr>_415987cd_23a8_4581_bfec_60b857e66c57</vt:lpstr>
      <vt:lpstr>_41c524ab_256a_461a_bf83_8de5fd5e08e6</vt:lpstr>
      <vt:lpstr>_41e30b64_79d1_498f_a7a5_962c910761f9</vt:lpstr>
      <vt:lpstr>_424ee8c5_eba0_475e_8ba9_3f82ba75ec3a</vt:lpstr>
      <vt:lpstr>_431bec30_9151_4575_ad35_63ae37a09dc9</vt:lpstr>
      <vt:lpstr>_45028af2_2d25_4b6f_988e_f482a26f6734</vt:lpstr>
      <vt:lpstr>_45eb9c53_c249_4d2a_a96a_0c5c02d7146e</vt:lpstr>
      <vt:lpstr>_460623a4_b184_46d6_915b_acfa35cd6d89</vt:lpstr>
      <vt:lpstr>_461e04ec_dba7_4056_9b90_03a3225274cd</vt:lpstr>
      <vt:lpstr>_465a1fab_530c_48d1_9b33_102e3fd3fa81</vt:lpstr>
      <vt:lpstr>_46f2d228_fc85_4810_a397_5be40b6fee67</vt:lpstr>
      <vt:lpstr>_4707885f_20f4_42ec_a075_05a190ee5fe0</vt:lpstr>
      <vt:lpstr>_47832571_541b_416c_9057_64568b517512</vt:lpstr>
      <vt:lpstr>_48ec914d_649a_4528_9a9c_240085790603</vt:lpstr>
      <vt:lpstr>_4a800aae_3447_45d9_9473_aa8691751a3a</vt:lpstr>
      <vt:lpstr>_4a93397f_3f34_40fe_ada7_481d6cf821ac</vt:lpstr>
      <vt:lpstr>_4b2d5491_5d79_4b63_b12a_d8361f65ed0b</vt:lpstr>
      <vt:lpstr>_4b40c56f_b116_4ee3_ab9c_552d2b9dbc32</vt:lpstr>
      <vt:lpstr>_4b86dce4_479c_41c6_bdd0_81dfaf4cda01</vt:lpstr>
      <vt:lpstr>_4c7a6e00_b677_4862_bc71_3154b071a4dd</vt:lpstr>
      <vt:lpstr>_4cfc71e4_86e0_4c0d_9cdf_8ecc78cdfab9</vt:lpstr>
      <vt:lpstr>_50ec6630_e2cf_43db_8ebd_50858b11dea8</vt:lpstr>
      <vt:lpstr>_514895ff_4e8b_44d9_9b3d_30a9ad058775</vt:lpstr>
      <vt:lpstr>_516f8add_7223_4c28_9de0_b227f1f60194</vt:lpstr>
      <vt:lpstr>_51dd4bc0_d63f_42af_81c9_b4b5bc566e27</vt:lpstr>
      <vt:lpstr>_527b259f_39c4_4e0c_8947_7603437a1298</vt:lpstr>
      <vt:lpstr>_536872f5_daee_4a8e_b4d3_6a37f5a235bb</vt:lpstr>
      <vt:lpstr>_554ce22a_9256_467d_8887_638cce27773c</vt:lpstr>
      <vt:lpstr>_55922287_1b12_4f88_b1dd_2618af26db4e</vt:lpstr>
      <vt:lpstr>_57005ff2_950a_4141_afce_488efdb62d9e</vt:lpstr>
      <vt:lpstr>_57b614ed_470d_4f1e_935b_7580de269c26</vt:lpstr>
      <vt:lpstr>_58564aa4_6b8c_428f_8b6c_cd83e30b71b2</vt:lpstr>
      <vt:lpstr>_590305a4_354d_455f_9c19_99f92989675f</vt:lpstr>
      <vt:lpstr>_59538c0f_b999_4a1b_9e7b_fc8d5f2f2f55</vt:lpstr>
      <vt:lpstr>_59993101_1a93_478b_b911_20339e33c237</vt:lpstr>
      <vt:lpstr>_5a566617_e436_4ccf_8032_ee1684b298e0</vt:lpstr>
      <vt:lpstr>_5c2ff31a_29af_4328_9104_e38397cdb12e</vt:lpstr>
      <vt:lpstr>_5c334e0e_1e9e_4965_86b0_bbb76a123743</vt:lpstr>
      <vt:lpstr>_5c3516a7_3509_4aa7_8a95_f1e36fa9a6c8</vt:lpstr>
      <vt:lpstr>_5cd269ef_7142_49d6_add4_368f9ad6b959</vt:lpstr>
      <vt:lpstr>_5cf5a7ab_2350_4736_a5a5_9cc20a252c37</vt:lpstr>
      <vt:lpstr>_5de049d7_9d7f_4453_b2a9_101960421044</vt:lpstr>
      <vt:lpstr>_5f39f37e_37ef_4645_ac33_01c550adf845</vt:lpstr>
      <vt:lpstr>_5f593289_c434_4e8d_aedf_fcff8dcf0a26</vt:lpstr>
      <vt:lpstr>_612a8454_daa2_47ac_83df_0d63ca099dec</vt:lpstr>
      <vt:lpstr>_617c1394_a80f_40b3_a447_1517c8b3f8d1</vt:lpstr>
      <vt:lpstr>_61b7089d_7d22_4c6a_83f1_4ebdc760aa84</vt:lpstr>
      <vt:lpstr>_61d810cd_f475_4657_8672_67b134ead424</vt:lpstr>
      <vt:lpstr>_62536a1f_c77c_4128_9432_944e212f234b</vt:lpstr>
      <vt:lpstr>_636539b4_860a_40a9_a004_a3d2b42cf4c1</vt:lpstr>
      <vt:lpstr>_63d0d962_36e9_404a_b617_9eca72792350</vt:lpstr>
      <vt:lpstr>_63de3c2d_d128_46c7_964c_bece57bac3e4</vt:lpstr>
      <vt:lpstr>_641c4a96_d4d7_40e2_8001_e4a0f85a9ef1</vt:lpstr>
      <vt:lpstr>_6490776e_8a59_4f9c_92d0_73d81e582ea1</vt:lpstr>
      <vt:lpstr>_6519bc76_1f53_4831_8bf7_f83ce72228d9</vt:lpstr>
      <vt:lpstr>_666989ec_79a0_4714_9945_3adcb1bef0aa</vt:lpstr>
      <vt:lpstr>_67005cbe_e8cc_4369_99b0_8a6074c50da7</vt:lpstr>
      <vt:lpstr>_675ab760_530f_4636_bdcf_cba3a2a390a7</vt:lpstr>
      <vt:lpstr>_678488b4_802c_4c72_9833_80839f2b9ed7</vt:lpstr>
      <vt:lpstr>_68b1346b_0b92_4c45_ba58_6a7d2169c54e</vt:lpstr>
      <vt:lpstr>_69981a7a_2094_458c_b681_399a8ac603bc</vt:lpstr>
      <vt:lpstr>_699ade08_f386_4f9b_a8c4_96d80c4d208f</vt:lpstr>
      <vt:lpstr>_6a5e943e_e255_4488_8f24_ec0cb647c321</vt:lpstr>
      <vt:lpstr>_6af25c57_be17_4a7d_a985_4c222f3c9c88</vt:lpstr>
      <vt:lpstr>_6b398e43_e08e_4385_96a1_120177eec057</vt:lpstr>
      <vt:lpstr>_6b5004b6_2200_4372_84df_4c730adf8091</vt:lpstr>
      <vt:lpstr>_6c57a552_06ab_4006_a031_02394826f1d4</vt:lpstr>
      <vt:lpstr>_6d168ce9_a1d2_4699_adea_5ae5beaa103c</vt:lpstr>
      <vt:lpstr>_6d7106e7_da89_4674_b333_4882a2c9b2b1</vt:lpstr>
      <vt:lpstr>_6d9f3fdf_2744_4471_927e_45b666990c15</vt:lpstr>
      <vt:lpstr>_6eb3b115_6a25_4c98_a69e_0ff4615eadfb</vt:lpstr>
      <vt:lpstr>_6f97f01f_4bc3_4136_b63b_d6ae4c54bafa</vt:lpstr>
      <vt:lpstr>_6fa1f59d_055e_46ae_b56e_09c97c3c2fea</vt:lpstr>
      <vt:lpstr>_709114c1_2213_4fc4_b5c6_058cfbd327df</vt:lpstr>
      <vt:lpstr>_70a4dfcc_263c_427c_8385_8e1ff001bfaa</vt:lpstr>
      <vt:lpstr>_70cb3929_4b10_4040_9c22_c3754c9672f7</vt:lpstr>
      <vt:lpstr>_70f6aa21_d242_4b8d_990d_5abb59ff3285</vt:lpstr>
      <vt:lpstr>_72c449e3_f244_4e2e_8a6d_6c6cbfd98f45</vt:lpstr>
      <vt:lpstr>_73272afa_f4ea_4501_be5a_0ba20efa776f</vt:lpstr>
      <vt:lpstr>_736e1e6c_0c52_4d1c_8f60_d7988557b754</vt:lpstr>
      <vt:lpstr>_748d3a5d_9446_4c7e_9a25_6c77cbd45a47</vt:lpstr>
      <vt:lpstr>_749a368e_b003_46f6_bce5_283c956630a1</vt:lpstr>
      <vt:lpstr>_75512f83_8f24_4459_ad69_19ce2f62fb94</vt:lpstr>
      <vt:lpstr>_758a5839_c252_4db3_aede_66e9ffa48fa1</vt:lpstr>
      <vt:lpstr>_75e4f523_fc4e_408b_bf34_2a3255e2c420</vt:lpstr>
      <vt:lpstr>_7698e521_b7e7_4967_8491_cdb70da1e187</vt:lpstr>
      <vt:lpstr>_769ed643_4fd1_466e_b30b_7a7748b36016</vt:lpstr>
      <vt:lpstr>_76ae2b12_c624_4f16_85f3_4071c3059180</vt:lpstr>
      <vt:lpstr>_78148f48_50a8_428a_be72_0fc330c70c7f</vt:lpstr>
      <vt:lpstr>_790ca257_b17b_4838_bbaa_36a9033dae98</vt:lpstr>
      <vt:lpstr>_7929ede1_eecb_40d0_a808_6842339b9b86</vt:lpstr>
      <vt:lpstr>_79607036_1c4b_46dc_98a2_0f5979da3fa8</vt:lpstr>
      <vt:lpstr>_7a8028f8_4b30_4728_b94d_884656fc0319</vt:lpstr>
      <vt:lpstr>_7ad1e768_db76_49b8_a946_8d89cf7470de</vt:lpstr>
      <vt:lpstr>_7ae038b4_1c29_42ca_83fa_657d1f5d5870</vt:lpstr>
      <vt:lpstr>_7b393259_6548_48dd_8839_62d2c4dfded4</vt:lpstr>
      <vt:lpstr>_7b6be502_bf3e_408e_a2d2_798841dd96dc</vt:lpstr>
      <vt:lpstr>_7b89e4e6_0344_44eb_92e7_8bc3efa8a949</vt:lpstr>
      <vt:lpstr>_7c652366_7c7b_454d_9a77_d85b2ab0e7cc</vt:lpstr>
      <vt:lpstr>_7c7e16cc_6ce9_4025_b599_86aad417bb87</vt:lpstr>
      <vt:lpstr>_7d5805b9_04de_45ec_ad2f_4a4de01c1a8a</vt:lpstr>
      <vt:lpstr>_7dbeb4e3_7cb9_4ecf_a0c8_036ad7d04344</vt:lpstr>
      <vt:lpstr>_7dc1f2e5_6eb6_496d_ae61_7dd2537468fc</vt:lpstr>
      <vt:lpstr>_7dcc54eb_edac_4b3d_824b_70d4d90e2ae4</vt:lpstr>
      <vt:lpstr>_80b2c634_703e_40c4_88fb_6d5b1ddd597f</vt:lpstr>
      <vt:lpstr>_817f9e6c_ce9d_4260_aeaa_08df00e46b0c</vt:lpstr>
      <vt:lpstr>_81f030a8_0abe_44db_866b_fa9722f775f6</vt:lpstr>
      <vt:lpstr>_821ac24a_565b_42ef_8952_c8b86aeeb553</vt:lpstr>
      <vt:lpstr>_828fcacc_c0ce_498a_854e_cff6be44a7e7</vt:lpstr>
      <vt:lpstr>_82daa8e0_d4cc_4fea_90e8_8c2ed1ce7fa6</vt:lpstr>
      <vt:lpstr>_84023e98_8f2a_4bbc_b75d_d7ba0807f700</vt:lpstr>
      <vt:lpstr>_843905fe_c8ec_4f4f_b0ab_8695f5c2a0e3</vt:lpstr>
      <vt:lpstr>_85941f29_7d58_4bd7_be53_366d6a653d25</vt:lpstr>
      <vt:lpstr>_85eeb1e8_72c1_4b49_82a8_09395964fb28</vt:lpstr>
      <vt:lpstr>_86120cd2_c87e_442b_bc1c_570556855fad</vt:lpstr>
      <vt:lpstr>_86338234_e740_41b9_8435_a748146e4c75</vt:lpstr>
      <vt:lpstr>_86f75f42_c314_4da4_a58a_c92098769a3a</vt:lpstr>
      <vt:lpstr>_8767fd0c_a534_4edd_8c61_b63663bd2d64</vt:lpstr>
      <vt:lpstr>_897815d1_a446_41b7_9de9_93fa23336a81</vt:lpstr>
      <vt:lpstr>_8c02e64b_da79_47a4_bfca_697124eaed5f</vt:lpstr>
      <vt:lpstr>_8c7e539e_f1c9_4602_9453_b5242ed3986a</vt:lpstr>
      <vt:lpstr>_8d19df97_332b_4eb0_b244_dc33441e0ea5</vt:lpstr>
      <vt:lpstr>_8d98b92c_14c3_4984_81c1_ee7af34df5e8</vt:lpstr>
      <vt:lpstr>_8e332663_c8f1_4e93_bd55_66589a27623a</vt:lpstr>
      <vt:lpstr>_8e75ea13_3e01_4498_975d_7da89c2b8d44</vt:lpstr>
      <vt:lpstr>_8f1e09bc_b5b2_4886_89cb_dbb0c418f286</vt:lpstr>
      <vt:lpstr>_8f2e63e1_9ca3_4deb_88e1_4210a017aecb</vt:lpstr>
      <vt:lpstr>_9009aeb2_3a8c_475d_a8d7_4476fd58d031</vt:lpstr>
      <vt:lpstr>_905b37a9_75a9_4dc7_bbb7_5fe9d79b83ba</vt:lpstr>
      <vt:lpstr>_91cd3777_db5e_4104_944b_efd6b99cf537</vt:lpstr>
      <vt:lpstr>_91d39eae_60d7_4baf_94ce_36f0e5bd8a25</vt:lpstr>
      <vt:lpstr>_92414b91_9955_428d_bf1e_078978840377</vt:lpstr>
      <vt:lpstr>_92be6f34_d8e8_493f_b967_4d804c3f7f94</vt:lpstr>
      <vt:lpstr>_9363a3c5_852b_485d_b237_7b0e753689bf</vt:lpstr>
      <vt:lpstr>_93d522ee_1954_4576_9f10_ef534c181632</vt:lpstr>
      <vt:lpstr>_9428f9f8_75e4_4e3c_8fb4_af8c020c93c4</vt:lpstr>
      <vt:lpstr>_94f02acd_45a1_4d57_9c86_171c94224b6b</vt:lpstr>
      <vt:lpstr>_955abfbb_04b4_4f91_bc70_0638e717b29d</vt:lpstr>
      <vt:lpstr>_960c0f0f_3ed9_43e3_b364_f280a5374eb5</vt:lpstr>
      <vt:lpstr>_9614e773_c9e5_4a65_98fe_8330035c9b60</vt:lpstr>
      <vt:lpstr>_96c51cca_df85_4b74_ba46_cad1bf1d8ff7</vt:lpstr>
      <vt:lpstr>_96e64bb3_a56a_457f_a669_ab515fdb35e2</vt:lpstr>
      <vt:lpstr>_9791e5d5_2a27_41de_b4ba_9353d2f28e84</vt:lpstr>
      <vt:lpstr>_97a54aac_5608_4a3c_82a2_8aa7d06eadfb</vt:lpstr>
      <vt:lpstr>_989c2827_c14c_41f9_a684_78dea225fefe</vt:lpstr>
      <vt:lpstr>_98c17fc0_7b46_4570_a906_87733aff66d1</vt:lpstr>
      <vt:lpstr>_98cfcffe_1aff_4635_a40c_40b2bc2077cf</vt:lpstr>
      <vt:lpstr>_98f0ce9e_27b8_452b_beed_a820634b68b6</vt:lpstr>
      <vt:lpstr>_999ca3c3_e3bb_41b8_9cf1_e3fc9b914b24</vt:lpstr>
      <vt:lpstr>_99a7e594_f9cd_40b7_8b51_07b7b2d24feb</vt:lpstr>
      <vt:lpstr>_9b3e0f2f_1d05_4460_8022_47cf311f932d</vt:lpstr>
      <vt:lpstr>_9b87da26_3966_4d06_8d69_572350087570</vt:lpstr>
      <vt:lpstr>_9c306ac7_2fa5_4c9e_968d_62f9c3592a55</vt:lpstr>
      <vt:lpstr>_9c5b7007_4f7c_4499_b8e2_5a3485dc7840</vt:lpstr>
      <vt:lpstr>_9d7d1ef8_2660_4434_ac14_3fee7d5f54c4</vt:lpstr>
      <vt:lpstr>_9e794b44_3863_4a9f_b89a_49b9635b561d</vt:lpstr>
      <vt:lpstr>_9f084c9d_f9b2_422a_bdc7_78e27b1a160f</vt:lpstr>
      <vt:lpstr>_9fe2e788_357f_47dd_b7d6_5c45c33dfa98</vt:lpstr>
      <vt:lpstr>_a0b622c9_98b2_4630_9ed3_15d234bf7cef</vt:lpstr>
      <vt:lpstr>_a0e5c2bb_ab6b_45a7_9cfa_8d7b3be40060</vt:lpstr>
      <vt:lpstr>_a0e6ac39_9c8f_4345_bde2_1b7066b4fc97</vt:lpstr>
      <vt:lpstr>_a152f39c_0299_474a_83bb_d664943edf00</vt:lpstr>
      <vt:lpstr>_a3a32659_6aa3_44f1_b745_140172150b4f</vt:lpstr>
      <vt:lpstr>_a3c03fcc_8cdf_4603_b8f2_ddf9dc839170</vt:lpstr>
      <vt:lpstr>_a487d099_ebf5_4e80_a3ac_0320b5cc601e</vt:lpstr>
      <vt:lpstr>_a4bcdea1_6c46_4e16_bf84_e701dcf2de7f</vt:lpstr>
      <vt:lpstr>_a4e47151_1e06_4f46_9020_1dfb6efab6d5</vt:lpstr>
      <vt:lpstr>_a50fa4bf_a65b_4051_ab46_bd13a09c13f1</vt:lpstr>
      <vt:lpstr>_a53ab4d5_dde0_4363_b9ba_0b32c4bc44f8</vt:lpstr>
      <vt:lpstr>_a63a5afa_9c82_49af_bc8d_b9958c601886</vt:lpstr>
      <vt:lpstr>_a7096e49_274f_4c7e_a441_aee265d13f2c</vt:lpstr>
      <vt:lpstr>_a8491438_4c6d_4ec1_8b27_5f76cd531b3b</vt:lpstr>
      <vt:lpstr>_a8f5594e_eb9b_4e9f_a7c7_5edbcbdca844</vt:lpstr>
      <vt:lpstr>_a9ccc8f1_8724_4060_96e9_a502de45e80f</vt:lpstr>
      <vt:lpstr>_aa0326f5_9d2c_4ee6_960a_7993513a04d7</vt:lpstr>
      <vt:lpstr>_aa5ead3e_557d_4910_a49c_ae684c1815ac</vt:lpstr>
      <vt:lpstr>_aabb928f_a3e7_4ff6_8913_314ead19223b</vt:lpstr>
      <vt:lpstr>_aacf09a1_19e2_4d83_8bc5_b600e9d2e175</vt:lpstr>
      <vt:lpstr>_ab9e4a0a_8343_4ca2_991d_3feab59553b9</vt:lpstr>
      <vt:lpstr>_abff7f96_628b_4f2d_b93c_92e3608da5bf</vt:lpstr>
      <vt:lpstr>_ac9005bd_9205_4261_9cb0_d99c2c1f84d3</vt:lpstr>
      <vt:lpstr>_ad31191b_1bcc_4426_8a4a_22beb2bacf3e</vt:lpstr>
      <vt:lpstr>_ae6e512b_3d95_422b_a798_3e57d4839693</vt:lpstr>
      <vt:lpstr>_aead412b_8254_41c2_8088_9961653408c7</vt:lpstr>
      <vt:lpstr>_aeee331d_30f2_43a3_bc5e_667269ffa690</vt:lpstr>
      <vt:lpstr>_aef8f1fd_5698_4092_9f72_25edc8264d8f</vt:lpstr>
      <vt:lpstr>_afc232cf_c169_4be7_b0a3_1e865da48842</vt:lpstr>
      <vt:lpstr>_b125e86e_9d66_4365_850e_c6fcb87c9db9</vt:lpstr>
      <vt:lpstr>_b186ff72_d27c_4574_9db4_ca7e741ae8fd</vt:lpstr>
      <vt:lpstr>_b1bd3437_f548_46c9_a743_a7c0ae1110ea</vt:lpstr>
      <vt:lpstr>_b1e78b22_ad2a_40fe_8a4b_20590db644a8</vt:lpstr>
      <vt:lpstr>_b2430fc4_c651_4ab6_8cfc_33f42945100b</vt:lpstr>
      <vt:lpstr>_b2b126a7_37a8_4970_b2b4_da841f576d0b</vt:lpstr>
      <vt:lpstr>_b3402e96_ad7f_4f9e_abba_7219e3e7f169</vt:lpstr>
      <vt:lpstr>_b3c06770_56af_48f0_b86d_700901b7ef8e</vt:lpstr>
      <vt:lpstr>_b42cef75_de51_4350_b638_2f07adb11308</vt:lpstr>
      <vt:lpstr>_b44e8b63_af98_411f_94c0_2ef69a3cbf9c</vt:lpstr>
      <vt:lpstr>_b4666379_0acb_4d72_8cb2_d396f19f20fb</vt:lpstr>
      <vt:lpstr>_b469d84c_52e5_4a92_80e2_49eaccc7c9d8</vt:lpstr>
      <vt:lpstr>_b4a2f630_f255_4664_8c2b_7947332e436a</vt:lpstr>
      <vt:lpstr>_b59cdd47_5a03_418a_a423_467413d9ca30</vt:lpstr>
      <vt:lpstr>_b6114804_a017_46d0_9f40_23ddfb7f05e2</vt:lpstr>
      <vt:lpstr>_b6b54932_bbc2_49d5_aaf8_e808d8b9cd49</vt:lpstr>
      <vt:lpstr>_b76185d1_9a98_4f6b_85a8_601864a44afc</vt:lpstr>
      <vt:lpstr>_b7aa4414_545a_47a0_9ab1_97f12b5643c8</vt:lpstr>
      <vt:lpstr>_b82ba3a9_c40d_4b22_8394_822d445f79b0</vt:lpstr>
      <vt:lpstr>_ba289966_f8e1_4c44_9e87_499ccb8fdf22</vt:lpstr>
      <vt:lpstr>_ba5ae70c_90ea_458f_8bfb_fb96038936c1</vt:lpstr>
      <vt:lpstr>_bb2b664c_d994_4da7_9913_b0f0638e6f07</vt:lpstr>
      <vt:lpstr>_bb78ca4d_3bdb_4902_91ad_351d3aaf25d7</vt:lpstr>
      <vt:lpstr>_bcdb1279_07d1_4285_97f0_798754ffbfa3</vt:lpstr>
      <vt:lpstr>_bd0083e1_f86a_4f04_9e49_0e115045f089</vt:lpstr>
      <vt:lpstr>_bf8c45d7_5526_406e_acc6_43ad293f5dc3</vt:lpstr>
      <vt:lpstr>_bfca0c3b_63d2_403b_8c24_9e68e1b816f3</vt:lpstr>
      <vt:lpstr>_c0012965_1bb8_4721_88e9_cf24fe38dc4b</vt:lpstr>
      <vt:lpstr>_c02cc35b_42a3_48a4_8353_37680357616a</vt:lpstr>
      <vt:lpstr>_c09a840c_dd8d_4c5b_8af2_cf513d16b38b</vt:lpstr>
      <vt:lpstr>_c0e49844_e8e9_46b7_8dd6_d1ce51cd99dc</vt:lpstr>
      <vt:lpstr>_c12be6ab_2ea0_4379_96d1_4ce4d00f81c5</vt:lpstr>
      <vt:lpstr>_c16326e7_890b_4dc5_a434_82c1232a5011</vt:lpstr>
      <vt:lpstr>_c17a838e_326f_48c5_aefb_9da20f8fb171</vt:lpstr>
      <vt:lpstr>_c2b697b8_3018_463b_b36a_25a1ed68b353</vt:lpstr>
      <vt:lpstr>_c2c7d249_8392_4a87_b980_0f7dc06d0315</vt:lpstr>
      <vt:lpstr>_c2e81fb1_9280_44b9_a71b_89150648439b</vt:lpstr>
      <vt:lpstr>_c33dda3f_cea6_4dab_9d53_2eaafd157ffd</vt:lpstr>
      <vt:lpstr>_c374b739_a6e3_48f1_9566_cd3f880774d2</vt:lpstr>
      <vt:lpstr>_c3bd0cf9_281c_40da_94a3_1d32582a58f0</vt:lpstr>
      <vt:lpstr>_c49e9f3d_7c20_4b0f_bdf1_63ce7fca48c7</vt:lpstr>
      <vt:lpstr>_c4c2e611_e730_424f_8c55_c695aa4e2efc</vt:lpstr>
      <vt:lpstr>_c52c03a8_957d_4edc_b38e_fe8ab92e8528</vt:lpstr>
      <vt:lpstr>_c5a0b4ef_fe00_4861_a8ed_bb6df4e2f705</vt:lpstr>
      <vt:lpstr>_c5c1f3c5_5a49_4c11_a771_a5f1d4118da5</vt:lpstr>
      <vt:lpstr>_c5fd0628_2313_4844_af68_24412f7cf2ec</vt:lpstr>
      <vt:lpstr>_c644c6fc_187d_410c_abff_0bd5233a8adc</vt:lpstr>
      <vt:lpstr>_c680f865_62ed_4a30_a3bb_65c5409134be</vt:lpstr>
      <vt:lpstr>_c7551a23_eb91_4b92_9af0_4e85592dd5bc</vt:lpstr>
      <vt:lpstr>_c787154a_bcf4_4ffb_8f18_8626129c6542</vt:lpstr>
      <vt:lpstr>_c8a2fc92_1f23_452f_974e_b4c265d31398</vt:lpstr>
      <vt:lpstr>_c8ccf522_4366_402c_a664_dfc6a62c4789</vt:lpstr>
      <vt:lpstr>_c910d59c_d65b_4734_a446_34d376d19362</vt:lpstr>
      <vt:lpstr>_c9f5d224_bd1a_4fab_9418_475f26f8f021</vt:lpstr>
      <vt:lpstr>_ca34193e_b3e6_4206_a41e_c8c0fc031558</vt:lpstr>
      <vt:lpstr>_cab8fd3f_d979_4288_8f5b_e1f5abd1a54d</vt:lpstr>
      <vt:lpstr>_cb7a19fc_1521_4a26_8da3_ece688a554e5</vt:lpstr>
      <vt:lpstr>_cbe0c0f8_d83c_4ce2_9bc7_b033aea9febb</vt:lpstr>
      <vt:lpstr>_cc8b74af_27ca_4459_b6a4_3b6da646273f</vt:lpstr>
      <vt:lpstr>_cc94d5e0_095e_4b91_8e8f_72c95a0fe8a8</vt:lpstr>
      <vt:lpstr>_cd2221fa_067a_4cd3_a398_6637140a5d9d</vt:lpstr>
      <vt:lpstr>_cd441392_f5ef_408f_b075_cc614f229c7d</vt:lpstr>
      <vt:lpstr>_cd7b0ad9_e083_4350_9e50_25d037cfcd92</vt:lpstr>
      <vt:lpstr>_cf675f06_4970_47da_aa96_00ac87d6b9f7</vt:lpstr>
      <vt:lpstr>_cf7e5a4a_7a81_4f53_8acd_1e08bb06f384</vt:lpstr>
      <vt:lpstr>_cf863922_f2f3_4b1f_bfb7_030b876e6879</vt:lpstr>
      <vt:lpstr>_d09d69e0_6d5c_4718_b05b_3d1ea01d83ae</vt:lpstr>
      <vt:lpstr>_d0decdca_4da7_4fd7_86f3_75ec17c29021</vt:lpstr>
      <vt:lpstr>_d12c0697_d96a_4c32_b86a_d840fdef3152</vt:lpstr>
      <vt:lpstr>_d28ae8c7_abc9_403d_acff_ffeb46d36899</vt:lpstr>
      <vt:lpstr>_d2c412b5_e4e7_463b_901a_e8dbe0cec1a0</vt:lpstr>
      <vt:lpstr>_d33476ff_0cf1_4ba5_b99c_0d8a7960f349</vt:lpstr>
      <vt:lpstr>_d5095cc9_6836_45ad_bb4d_ce18a01f0d5e</vt:lpstr>
      <vt:lpstr>_d67820e9_5f56_46a6_a69a_c7147c0ff654</vt:lpstr>
      <vt:lpstr>_d6f12d73_3320_47a5_869c_2e298dd5ecdc</vt:lpstr>
      <vt:lpstr>_d7a433d0_8e0d_4af6_82eb_27275edd6418</vt:lpstr>
      <vt:lpstr>_d87dead1_55cd_4083_8471_a277a97bcdc1</vt:lpstr>
      <vt:lpstr>_d9af3e01_f905_4ca5_a911_0d8bc32fe491</vt:lpstr>
      <vt:lpstr>_db07c652_41f2_4da1_a2a0_dd858261767c</vt:lpstr>
      <vt:lpstr>_dbc2c0d8_ab82_4868_b277_e9b1acd9fc22</vt:lpstr>
      <vt:lpstr>_dbf20ee0_5f2c_44c2_afab_54cc7a7ae1d3</vt:lpstr>
      <vt:lpstr>_dc3802bd_0bcc_48e8_a56e_7e001b60fb1f</vt:lpstr>
      <vt:lpstr>_dca21445_e3d5_45ff_8329_04ded9c92a4b</vt:lpstr>
      <vt:lpstr>_dec07dcc_68bb_469c_b6be_7a80b61914fa</vt:lpstr>
      <vt:lpstr>_decf8602_3e8a_4efc_a645_28cb6031b3f3</vt:lpstr>
      <vt:lpstr>_df563686_de97_481c_91a5_78e1a29a5b49</vt:lpstr>
      <vt:lpstr>_e03b2f22_4001_4501_a7d0_772383f2b72c</vt:lpstr>
      <vt:lpstr>_e0a760bf_2233_4bad_a3e7_062b2675cb32</vt:lpstr>
      <vt:lpstr>_e0d9307a_84d9_4e0a_9c20_075beac2a139</vt:lpstr>
      <vt:lpstr>_e1c93540_776b_480a_962b_51995b1d5eb4</vt:lpstr>
      <vt:lpstr>_e1cb609f_9ec8_423d_8cb8_d31f085d4cc6</vt:lpstr>
      <vt:lpstr>_e1efe092_89f5_47d1_a527_10833d17aa03</vt:lpstr>
      <vt:lpstr>_e37d662f_a375_40cf_8b01_58ac76092579</vt:lpstr>
      <vt:lpstr>_e3831145_f31a_4300_8ca4_d98e9c642781</vt:lpstr>
      <vt:lpstr>_e4ead8b7_e992_4757_9755_d6bcdaff8860</vt:lpstr>
      <vt:lpstr>_e5421638_a6b5_438d_94fc_652485dab62d</vt:lpstr>
      <vt:lpstr>_e55c55ea_7bf4_4b0c_bee1_971627d94916</vt:lpstr>
      <vt:lpstr>_e57f8791_77dd_4dd6_bffb_f438ed140b57</vt:lpstr>
      <vt:lpstr>_e5dede5d_1b8b_4631_a00e_4033e58d5539</vt:lpstr>
      <vt:lpstr>_e627e6e9_51c3_49b6_bde7_4be4a845656f</vt:lpstr>
      <vt:lpstr>_e6be31ca_aade_422c_8414_ad7528dd2181</vt:lpstr>
      <vt:lpstr>_e7acf3a1_32c0_4352_b059_9ce4059d552b</vt:lpstr>
      <vt:lpstr>_e831f4d4_15cb_405c_b63a_03eeb71b7c8b</vt:lpstr>
      <vt:lpstr>_e896b249_4600_4a32_8d14_52dedf1c7052</vt:lpstr>
      <vt:lpstr>_ea3792b9_7f77_48b9_ab7d_7df856689769</vt:lpstr>
      <vt:lpstr>_ea4b76b5_ac83_4728_8487_c82060bfdd1c</vt:lpstr>
      <vt:lpstr>_ea657bbf_b925_4d2b_ad55_df3fbf460274</vt:lpstr>
      <vt:lpstr>_ea758705_9d8a_4de1_8f9d_57718ffded68</vt:lpstr>
      <vt:lpstr>_eaa41347_ca8c_4d22_825e_1f54d6969a99</vt:lpstr>
      <vt:lpstr>_eccb8966_8b0e_43c3_ac15_fb989c1b17cc</vt:lpstr>
      <vt:lpstr>_ee3953a0_0762_4f4b_9414_c2e68ae1e508</vt:lpstr>
      <vt:lpstr>_ef7b0cd0_df14_41c4_8987_1bd54c07b400</vt:lpstr>
      <vt:lpstr>_f046dd6b_b221_4448_a441_9fbab923981b</vt:lpstr>
      <vt:lpstr>_f19d3db5_6803_4c52_a7f3_f12bb423520f</vt:lpstr>
      <vt:lpstr>_f1b2c2b2_5034_4fb9_8c0d_1dd46458948d</vt:lpstr>
      <vt:lpstr>_f294efd2_f9ec_434f_ba05_11b96801a2f6</vt:lpstr>
      <vt:lpstr>_f3121d9e_1ff6_4055_831d_a6c005ae7be8</vt:lpstr>
      <vt:lpstr>_f41cfc95_8dd6_409d_95ae_e4643b781662</vt:lpstr>
      <vt:lpstr>_f49e361d_0ff0_4276_985a_acd52db231bd</vt:lpstr>
      <vt:lpstr>_f57307f2_e947_4578_a151_2a24e2f91d68</vt:lpstr>
      <vt:lpstr>_f57a8230_8610_4d8b_9216_9ca95c567302</vt:lpstr>
      <vt:lpstr>_f752cab7_c767_4cdd_b7e6_2ae82cd100c8</vt:lpstr>
      <vt:lpstr>_f772748a_d651_42c2_a5ac_fb9059fad47f</vt:lpstr>
      <vt:lpstr>_f7772449_e71e_45a0_946f_3bbdb0779516</vt:lpstr>
      <vt:lpstr>_f77f33f2_e290_4e7b_ba4e_db8392ec2976</vt:lpstr>
      <vt:lpstr>_f7e17039_2166_4d2d_9342_c6aa02461662</vt:lpstr>
      <vt:lpstr>_f7e1854d_7269_4cb6_a133_fe1a7c81f891</vt:lpstr>
      <vt:lpstr>_f85c19e7_350e_45c4_8500_6a24417e8f8f</vt:lpstr>
      <vt:lpstr>_f8df3b89_cad3_483f_b0d8_771b6cb277fa</vt:lpstr>
      <vt:lpstr>_f9087935_d4f9_4e9d_a597_8a84999668d4</vt:lpstr>
      <vt:lpstr>_fa319343_7ec9_4ddd_b576_c3984e87967d</vt:lpstr>
      <vt:lpstr>_fa526e39_564b_4569_b4fd_db1bac068866</vt:lpstr>
      <vt:lpstr>_fb234f58_3c7d_4b54_a3f3_f6a012864e61</vt:lpstr>
      <vt:lpstr>_fb355c7f_9415_4b1f_ba3e_3c63aa6ca91d</vt:lpstr>
      <vt:lpstr>_fb691d96_11a4_4b60_af9b_f044e0536104</vt:lpstr>
      <vt:lpstr>_fdebf3c0_91c2_4d39_bfdd_5fd9c5709d53</vt:lpstr>
      <vt:lpstr>_fe298dd5_3965_40b3_b7a7_67f87680a6a4</vt:lpstr>
      <vt:lpstr>_fe88ddaa_0ce8_4771_a7cd_8d9fb692d556</vt:lpstr>
      <vt:lpstr>_fee4b8f2_7f91_4a7d_848b_c517cadfc4ec</vt:lpstr>
      <vt:lpstr>_fefe4dfc_68c7_4b1b_bb8b_a7e06305fa21</vt:lpstr>
      <vt:lpstr>AIM_Budget_Variance__c.AIM_Description__c</vt:lpstr>
      <vt:lpstr>AIM_Coverage_Disaggregation__c.AIM_Year__c</vt:lpstr>
      <vt:lpstr>AIM_Coverage_Disaggregation_Result__c.AIM_LFA_Source__c</vt:lpstr>
      <vt:lpstr>AIM_Coverage_Disaggregation_Result__c.AIM_Source_PR__c</vt:lpstr>
      <vt:lpstr>AIM_Coverage_Indicator__c.AIM_Cumulation_Type__c</vt:lpstr>
      <vt:lpstr>AIM_Coverage_Indicator__c.AIM_Geographic_Coverage__c</vt:lpstr>
      <vt:lpstr>AIM_Coverage_Indicator__c.AIM_Year__c</vt:lpstr>
      <vt:lpstr>AIM_Coverage_Indicator_Targets_Results__c.AIM_Data_Source_Result_LFA__c</vt:lpstr>
      <vt:lpstr>AIM_Coverage_Indicator_Targets_Results__c.AIM_Data_Source_Result_PR__c</vt:lpstr>
      <vt:lpstr>AIM_Coverage_Indicator_Targets_Results__c.AIM_Due_for_Reporting__c</vt:lpstr>
      <vt:lpstr>AIM_Coverage_Indicator_Targets_Results__c.AIM_Verification_Method_LFA__c</vt:lpstr>
      <vt:lpstr>AIM_Grant_Requirement__c.AIM_Functional_Areas__c</vt:lpstr>
      <vt:lpstr>AIM_Grant_Requirement__c.AIM_Status_LFA__c</vt:lpstr>
      <vt:lpstr>AIM_Grant_Requirement__c.AIM_Status_PR__c</vt:lpstr>
      <vt:lpstr>AIM_Grant_Requirement__c.Annual_Grant_Reporting__Requirements.AIM_Functional_Areas__c</vt:lpstr>
      <vt:lpstr>AIM_Grant_Requirement__c.Annual_Grant_Reporting__Requirements.AIM_Status_LFA__c</vt:lpstr>
      <vt:lpstr>AIM_Grant_Requirement__c.Annual_Grant_Reporting__Requirements.AIM_Status_PR__c</vt:lpstr>
      <vt:lpstr>AIM_Grant_Requirement__c.Findings_and_Recomendations.AIM_Functional_Areas__c</vt:lpstr>
      <vt:lpstr>AIM_Grant_Requirement__c.Findings_and_Recomendations.AIM_Status_LFA__c</vt:lpstr>
      <vt:lpstr>AIM_Grant_Requirement__c.Findings_and_Recomendations.AIM_Status_PR__c</vt:lpstr>
      <vt:lpstr>AIM_Grant_Requirement__c.Grant_Requirements.AIM_Functional_Areas__c</vt:lpstr>
      <vt:lpstr>AIM_Grant_Requirement__c.Grant_Requirements.AIM_Status_LFA__c</vt:lpstr>
      <vt:lpstr>AIM_Grant_Requirement__c.Grant_Requirements.AIM_Status_PR__c</vt:lpstr>
      <vt:lpstr>AIM_Grant_Requirement__c.Management_Actions.AIM_Functional_Areas__c</vt:lpstr>
      <vt:lpstr>AIM_Grant_Requirement__c.Management_Actions.AIM_Status_LFA__c</vt:lpstr>
      <vt:lpstr>AIM_Grant_Requirement__c.Management_Actions.AIM_Status_PR__c</vt:lpstr>
      <vt:lpstr>AIM_Grant_Requirement__c.Master.AIM_Functional_Areas__c</vt:lpstr>
      <vt:lpstr>AIM_Grant_Requirement__c.Master.AIM_Status_LFA__c</vt:lpstr>
      <vt:lpstr>AIM_Grant_Requirement__c.Master.AIM_Status_PR__c</vt:lpstr>
      <vt:lpstr>AIM_Impact_Disagaggregation_Results__c.AIM_Result_Source_PR__c</vt:lpstr>
      <vt:lpstr>AIM_Impact_Disagaggregation_Results__c.AIM_Verified_Result_Source_LFA__c</vt:lpstr>
      <vt:lpstr>AIM_Impact_Disaggregation__c.AIM_Baseline_Year__c</vt:lpstr>
      <vt:lpstr>AIM_Impact_Indicator__c.AIM_Baseline_Year__c</vt:lpstr>
      <vt:lpstr>AIM_Impact_Indicator_Targets_Results__c.AIM_Data_Source_Result_LFA__c</vt:lpstr>
      <vt:lpstr>AIM_Impact_Indicator_Targets_Results__c.AIM_Data_Source_Result_PR__c</vt:lpstr>
      <vt:lpstr>AIM_Impact_Indicator_Targets_Results__c.AIM_Due_for_Reporting__c</vt:lpstr>
      <vt:lpstr>AIM_Impact_Indicator_Targets_Results__c.AIM_Verification_Method_LFA__c</vt:lpstr>
      <vt:lpstr>AIM_Impact_Indicator_Targets_Results__c.AIM_Year_of_Result_LFA__c</vt:lpstr>
      <vt:lpstr>AIM_Impact_Indicator_Targets_Results__c.AIM_Year_of_Result_PR__c</vt:lpstr>
      <vt:lpstr>AIM_Impact_Indicator_Targets_Results__c.AIM_Year_of_Target__c</vt:lpstr>
      <vt:lpstr>AIM_Implementation_Period__c.AIM_Grant_Currency__c</vt:lpstr>
      <vt:lpstr>AIM_Opt_Ins__c.AIM_Tab_Name__c</vt:lpstr>
      <vt:lpstr>AIM_Opt_Ins__c.AIM_Type__c</vt:lpstr>
      <vt:lpstr>AIM_Outcome_Disaggregation__c.AIM_Baseline_Year__c</vt:lpstr>
      <vt:lpstr>AIM_Outcome_Disaggregation_Results__c.AIM_Result_Source_PR__c</vt:lpstr>
      <vt:lpstr>AIM_Outcome_Disaggregation_Results__c.AIM_Verified_Result_Source_LFA__c</vt:lpstr>
      <vt:lpstr>AIM_Outcome_Indicator__c.AIM_Baseline_Year__c</vt:lpstr>
      <vt:lpstr>AIM_Outcome_Indicator_Targets_Result__c.AIM_Data_Source_Result_LFA__c</vt:lpstr>
      <vt:lpstr>AIM_Outcome_Indicator_Targets_Result__c.AIM_Data_Source_Result_PR__c</vt:lpstr>
      <vt:lpstr>AIM_Outcome_Indicator_Targets_Result__c.AIM_Due_for_Reporting__c</vt:lpstr>
      <vt:lpstr>AIM_Outcome_Indicator_Targets_Result__c.AIM_Verification_Method_LFA__c</vt:lpstr>
      <vt:lpstr>AIM_Outcome_Indicator_Targets_Result__c.AIM_Year_of_Result_LFA__c</vt:lpstr>
      <vt:lpstr>AIM_Outcome_Indicator_Targets_Result__c.AIM_Year_of_Result_PR__c</vt:lpstr>
      <vt:lpstr>AIM_Outcome_Indicator_Targets_Result__c.AIM_Year_of_Target__c</vt:lpstr>
      <vt:lpstr>AIM_Performance__c.AIM_Major_Issues_Identified_LFA__c</vt:lpstr>
      <vt:lpstr>AIM_Performance__c.AIM_Overall_Rating_LFA__c</vt:lpstr>
      <vt:lpstr>AIM_Performance__c.AIM_Quantitative_Indicator_LFA__c</vt:lpstr>
      <vt:lpstr>AIM_Procurement__c.AIM_Expiry_Response_LFA__c</vt:lpstr>
      <vt:lpstr>AIM_Procurement__c.AIM_PQR_Response_LFA__c</vt:lpstr>
      <vt:lpstr>AIM_Procurement__c.AIM_PQR_Response_PR__c</vt:lpstr>
      <vt:lpstr>AIM_Procurement__c.AIM_Stock_Out_Response_LFA__c</vt:lpstr>
      <vt:lpstr>AIM_Quarterly_Cash_Forecast__c.AIM_Type__c</vt:lpstr>
      <vt:lpstr>AIM_WPTM_Results__c.AIM_Progress_Status_LFA__c</vt:lpstr>
      <vt:lpstr>AIM_WPTM_Results__c.AIM_Progress_Status_PR__c</vt:lpstr>
      <vt:lpstr>Available_Cash</vt:lpstr>
      <vt:lpstr>ModuleColumn</vt:lpstr>
      <vt:lpstr>ModuleStart</vt:lpstr>
      <vt:lpstr>NewStatus</vt:lpstr>
      <vt:lpstr>PICKLISTKEYVALUEPAIR</vt:lpstr>
      <vt:lpstr>WPTM_1C!PR_SDA</vt:lpstr>
      <vt:lpstr>'Budget Variance_2F'!Print_Area</vt:lpstr>
      <vt:lpstr>'Cash Forecast_8A'!Print_Area</vt:lpstr>
      <vt:lpstr>'Coverage Indicators_1B'!Print_Area</vt:lpstr>
      <vt:lpstr>CoverSheet!Print_Area</vt:lpstr>
      <vt:lpstr>Disaggregation_1A!Print_Area</vt:lpstr>
      <vt:lpstr>Disaggregation_1B!Print_Area</vt:lpstr>
      <vt:lpstr>'Financial Triggers_10'!Print_Area</vt:lpstr>
      <vt:lpstr>'Grant Management_4'!Print_Area</vt:lpstr>
      <vt:lpstr>'Impact Outcome Indicators_1A'!Print_Area</vt:lpstr>
      <vt:lpstr>'LFA Authorization_9B'!Print_Area</vt:lpstr>
      <vt:lpstr>'LFA Expenditure_7B'!Print_Area</vt:lpstr>
      <vt:lpstr>'LFA_Findings&amp;Recommendations_6'!Print_Area</vt:lpstr>
      <vt:lpstr>'PR Authorization_9A'!Print_Area</vt:lpstr>
      <vt:lpstr>'PR Cash Reconciliation_2A,B,C,D'!Print_Area</vt:lpstr>
      <vt:lpstr>'PR Expenditure_7A'!Print_Area</vt:lpstr>
      <vt:lpstr>'PR-LFA Evaluation_5'!Print_Area</vt:lpstr>
      <vt:lpstr>Procurement_3!Print_Area</vt:lpstr>
      <vt:lpstr>'Request and Recommendation_8B'!Print_Area</vt:lpstr>
      <vt:lpstr>'SR_Cash Reconciliation_2E'!Print_Area</vt:lpstr>
      <vt:lpstr>WPTM_1C!Print_Area</vt:lpstr>
      <vt:lpstr>'Coverage Indicators_1B'!Print_Titles</vt:lpstr>
      <vt:lpstr>Disaggregation_1A!Print_Titles</vt:lpstr>
      <vt:lpstr>Disaggregation_1B!Print_Titles</vt:lpstr>
      <vt:lpstr>'Impact Outcome Indicators_1A'!Print_Titles</vt:lpstr>
      <vt:lpstr>'LFA_Findings&amp;Recommendations_6'!Print_Titles</vt:lpstr>
      <vt:lpstr>'SR_Cash Reconciliation_2E'!Print_Titles</vt:lpstr>
      <vt:lpstr>WPTM_1C!Print_Titles</vt:lpstr>
      <vt:lpstr>StatusValues</vt:lpstr>
      <vt:lpstr>WPTM_1C!TEST</vt:lpstr>
      <vt:lpstr>XAuthorInvalidPicklistData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Core_PUDR_Form_en</dc:title>
  <dc:subject>&amp;lt;p&amp;gt;Sheet2  Definitions-lists-EFR  Memo Malaria  Memo TB  Memo HIV  Annex for additional info  LFA_Annex-SR Financials  LFA_Bank Details_7C  LFA_DisbursementRecommendation7  LFA_Overall Performance_6  Sheet1  LFA_Disbursement Recommend_5B  LFA_Cash Reconciliation_5A  LFA_Findings&amp;amp;amp;Recommendations  LFA_Procurement Info_4  LF&amp;lt;/p&amp;gt;</dc:subject>
  <dc:creator>Genc Kastrati</dc:creator>
  <dc:description>&amp;lt;p&amp;gt;Sheet2  Definitions-lists-EFR  Memo Malaria  Memo TB  Memo HIV  Annex for additional info  LFA_Annex-SR Financials  LFA_Bank Details_7C  LFA_DisbursementRecommendation7  LFA_Overall Performance_6  Sheet1  LFA_Disbursement Recommend_5B  LFA_Cash Reconciliation_5A  LFA_Findings&amp;amp;amp;Recommendations  LFA_Procurement Info_4  LF&amp;lt;/p&amp;gt;</dc:description>
  <cp:lastModifiedBy>Ketevan Stvilia</cp:lastModifiedBy>
  <cp:lastPrinted>2018-03-09T16:55:57Z</cp:lastPrinted>
  <dcterms:created xsi:type="dcterms:W3CDTF">2005-11-03T14:33:15Z</dcterms:created>
  <dcterms:modified xsi:type="dcterms:W3CDTF">2018-05-18T10:10:18Z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0x01010060AF44C4CE004F90858730CECCCDDE18004D250A5139136E4EB6C28921B539BB2E</vt:lpwstr>
  </property>
  <property fmtid="{D5CDD505-2E9C-101B-9397-08002B2CF9AE}" pid="4" name="EktContentLanguage">
    <vt:i4>1033</vt:i4>
  </property>
  <property fmtid="{D5CDD505-2E9C-101B-9397-08002B2CF9AE}" pid="5" name="EktQuickLink">
    <vt:lpwstr>DownloadAsset.aspx?id=7132</vt:lpwstr>
  </property>
  <property fmtid="{D5CDD505-2E9C-101B-9397-08002B2CF9AE}" pid="6" name="EktContentType">
    <vt:i4>101</vt:i4>
  </property>
  <property fmtid="{D5CDD505-2E9C-101B-9397-08002B2CF9AE}" pid="7" name="EktContentSubType">
    <vt:i4>0</vt:i4>
  </property>
  <property fmtid="{D5CDD505-2E9C-101B-9397-08002B2CF9AE}" pid="8" name="EktFolderName">
    <vt:lpwstr/>
  </property>
  <property fmtid="{D5CDD505-2E9C-101B-9397-08002B2CF9AE}" pid="9" name="EktCmsPath">
    <vt:lpwstr>&amp;lt;p&amp;gt;Sheet2  Definitions-lists-EFR  Memo Malaria  Memo TB  Memo HIV  Annex for additional info  LFA_Annex-SR Financials  LFA_Bank Details_7C  LFA_DisbursementRecommendation7  LFA_Overall Performance_6  Sheet1  LFA_Disbursement Recommend_5B  LFA_Cash R</vt:lpwstr>
  </property>
  <property fmtid="{D5CDD505-2E9C-101B-9397-08002B2CF9AE}" pid="10" name="EktExpiryType">
    <vt:i4>1</vt:i4>
  </property>
  <property fmtid="{D5CDD505-2E9C-101B-9397-08002B2CF9AE}" pid="11" name="EktDateCreated">
    <vt:filetime>2011-04-20T17:17:55Z</vt:filetime>
  </property>
  <property fmtid="{D5CDD505-2E9C-101B-9397-08002B2CF9AE}" pid="12" name="EktDateModified">
    <vt:filetime>2011-04-20T17:18:09Z</vt:filetime>
  </property>
  <property fmtid="{D5CDD505-2E9C-101B-9397-08002B2CF9AE}" pid="13" name="EktTaxCategory">
    <vt:lpwstr> #eksep# \Navigation\documents\core\forms #eksep# </vt:lpwstr>
  </property>
  <property fmtid="{D5CDD505-2E9C-101B-9397-08002B2CF9AE}" pid="14" name="EktDisabledTaxCategory">
    <vt:lpwstr/>
  </property>
  <property fmtid="{D5CDD505-2E9C-101B-9397-08002B2CF9AE}" pid="15" name="EktCmsSize">
    <vt:i4>743424</vt:i4>
  </property>
  <property fmtid="{D5CDD505-2E9C-101B-9397-08002B2CF9AE}" pid="16" name="EktSearchable">
    <vt:i4>1</vt:i4>
  </property>
  <property fmtid="{D5CDD505-2E9C-101B-9397-08002B2CF9AE}" pid="17" name="EktEDescription">
    <vt:lpwstr>Summary &amp;lt;p&amp;gt;Sheet2  Definitions-lists-EFR  Memo Malaria  Memo TB  Memo HIV  Annex for additional info  LFA_Annex-SR Financials  LFA_Bank Details_7C  LFA_DisbursementRecommendation7  LFA_Overall Performance_6  Sheet1  LFA_Disbursement Recommend_5B  LF</vt:lpwstr>
  </property>
  <property fmtid="{D5CDD505-2E9C-101B-9397-08002B2CF9AE}" pid="18" name="EktFile_Size">
    <vt:lpwstr>720 KB</vt:lpwstr>
  </property>
  <property fmtid="{D5CDD505-2E9C-101B-9397-08002B2CF9AE}" pid="19" name="EktFile_Type">
    <vt:lpwstr>XLS</vt:lpwstr>
  </property>
  <property fmtid="{D5CDD505-2E9C-101B-9397-08002B2CF9AE}" pid="20" name="ekttaxonomyenabled">
    <vt:i4>1</vt:i4>
  </property>
  <property fmtid="{D5CDD505-2E9C-101B-9397-08002B2CF9AE}" pid="21" name="SV_QUERY_LIST_4F35BF76-6C0D-4D9B-82B2-816C12CF3733">
    <vt:lpwstr>empty_477D106A-C0D6-4607-AEBD-E2C9D60EA279</vt:lpwstr>
  </property>
  <property fmtid="{D5CDD505-2E9C-101B-9397-08002B2CF9AE}" pid="22" name="APPBUILDER_RUNTIME_FILE">
    <vt:lpwstr>true</vt:lpwstr>
  </property>
</Properties>
</file>